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362" activeTab="1"/>
  </bookViews>
  <sheets>
    <sheet name="Guide" sheetId="1" r:id="rId1"/>
    <sheet name="Singles" sheetId="2" r:id="rId2"/>
    <sheet name="Doubles" sheetId="3" r:id="rId3"/>
    <sheet name="Stats" sheetId="4" r:id="rId4"/>
    <sheet name="Diffs" sheetId="5" r:id="rId5"/>
    <sheet name="DDDiffs" sheetId="6" r:id="rId6"/>
  </sheets>
  <calcPr calcId="124519"/>
</workbook>
</file>

<file path=xl/calcChain.xml><?xml version="1.0" encoding="utf-8"?>
<calcChain xmlns="http://schemas.openxmlformats.org/spreadsheetml/2006/main">
  <c r="B2" i="6"/>
  <c r="C2"/>
  <c r="D2"/>
  <c r="E2"/>
  <c r="F2"/>
  <c r="G2"/>
  <c r="H2" s="1"/>
  <c r="I2"/>
  <c r="M2"/>
  <c r="N2" s="1"/>
  <c r="P2" s="1"/>
  <c r="O2" s="1"/>
  <c r="B3"/>
  <c r="C3"/>
  <c r="D3"/>
  <c r="E3"/>
  <c r="F3"/>
  <c r="G3"/>
  <c r="H3" s="1"/>
  <c r="B4"/>
  <c r="C4"/>
  <c r="D4"/>
  <c r="E4"/>
  <c r="F4"/>
  <c r="G4"/>
  <c r="H4" s="1"/>
  <c r="I4"/>
  <c r="M4"/>
  <c r="N4" s="1"/>
  <c r="P4" s="1"/>
  <c r="O4" s="1"/>
  <c r="B5"/>
  <c r="C5"/>
  <c r="D5"/>
  <c r="E5"/>
  <c r="F5"/>
  <c r="G5"/>
  <c r="H5" s="1"/>
  <c r="B6"/>
  <c r="C6"/>
  <c r="D6"/>
  <c r="E6"/>
  <c r="F6"/>
  <c r="G6"/>
  <c r="H6" s="1"/>
  <c r="K6"/>
  <c r="B7"/>
  <c r="C7"/>
  <c r="D7"/>
  <c r="E7"/>
  <c r="F7"/>
  <c r="F26" s="1"/>
  <c r="G7"/>
  <c r="H7" s="1"/>
  <c r="B8"/>
  <c r="C8"/>
  <c r="D8"/>
  <c r="E8"/>
  <c r="F8"/>
  <c r="G8"/>
  <c r="H8"/>
  <c r="K8"/>
  <c r="M8"/>
  <c r="N8" s="1"/>
  <c r="P8" s="1"/>
  <c r="O8" s="1"/>
  <c r="B9"/>
  <c r="C9"/>
  <c r="D9"/>
  <c r="E9"/>
  <c r="F9"/>
  <c r="G9"/>
  <c r="H9" s="1"/>
  <c r="B10"/>
  <c r="C10"/>
  <c r="D10"/>
  <c r="E10"/>
  <c r="F10"/>
  <c r="G10"/>
  <c r="H10" s="1"/>
  <c r="K10"/>
  <c r="B11"/>
  <c r="C11"/>
  <c r="D11"/>
  <c r="E11"/>
  <c r="F11"/>
  <c r="G11"/>
  <c r="H11" s="1"/>
  <c r="B12"/>
  <c r="C12"/>
  <c r="D12"/>
  <c r="E12"/>
  <c r="F12"/>
  <c r="G12"/>
  <c r="H12"/>
  <c r="K12"/>
  <c r="M12"/>
  <c r="N12" s="1"/>
  <c r="P12" s="1"/>
  <c r="O12" s="1"/>
  <c r="B13"/>
  <c r="C13"/>
  <c r="D13"/>
  <c r="E13"/>
  <c r="F13"/>
  <c r="G13"/>
  <c r="H13" s="1"/>
  <c r="B14"/>
  <c r="C14"/>
  <c r="D14"/>
  <c r="E14"/>
  <c r="F14"/>
  <c r="G14"/>
  <c r="H14" s="1"/>
  <c r="K14"/>
  <c r="B15"/>
  <c r="C15"/>
  <c r="D15"/>
  <c r="E15"/>
  <c r="F15"/>
  <c r="G15"/>
  <c r="H15" s="1"/>
  <c r="B16"/>
  <c r="C16"/>
  <c r="D16"/>
  <c r="J44" s="1"/>
  <c r="E16"/>
  <c r="F16"/>
  <c r="G16"/>
  <c r="H16"/>
  <c r="K16"/>
  <c r="M16"/>
  <c r="N16" s="1"/>
  <c r="P16" s="1"/>
  <c r="O16" s="1"/>
  <c r="B17"/>
  <c r="C17"/>
  <c r="D17"/>
  <c r="E17"/>
  <c r="F17"/>
  <c r="G17"/>
  <c r="H17" s="1"/>
  <c r="B18"/>
  <c r="C18"/>
  <c r="D18"/>
  <c r="E18"/>
  <c r="F18"/>
  <c r="G18"/>
  <c r="H18" s="1"/>
  <c r="K18"/>
  <c r="B19"/>
  <c r="C19"/>
  <c r="D19"/>
  <c r="E19"/>
  <c r="F19"/>
  <c r="G19"/>
  <c r="H19" s="1"/>
  <c r="B20"/>
  <c r="C20"/>
  <c r="D20"/>
  <c r="J48" s="1"/>
  <c r="E20"/>
  <c r="F20"/>
  <c r="G20"/>
  <c r="H20"/>
  <c r="K20"/>
  <c r="M20"/>
  <c r="N20" s="1"/>
  <c r="P20" s="1"/>
  <c r="O20" s="1"/>
  <c r="B21"/>
  <c r="C21"/>
  <c r="D21"/>
  <c r="E21"/>
  <c r="F21"/>
  <c r="G21"/>
  <c r="H21" s="1"/>
  <c r="B22"/>
  <c r="C22"/>
  <c r="D22"/>
  <c r="E22"/>
  <c r="F22"/>
  <c r="G22"/>
  <c r="H22" s="1"/>
  <c r="K22"/>
  <c r="B23"/>
  <c r="C23"/>
  <c r="D23"/>
  <c r="E23"/>
  <c r="F23"/>
  <c r="G23"/>
  <c r="H23" s="1"/>
  <c r="B24"/>
  <c r="C24"/>
  <c r="D24"/>
  <c r="J52" s="1"/>
  <c r="E24"/>
  <c r="F24"/>
  <c r="G24"/>
  <c r="H24"/>
  <c r="K24"/>
  <c r="M24"/>
  <c r="N24" s="1"/>
  <c r="P24" s="1"/>
  <c r="O24" s="1"/>
  <c r="B25"/>
  <c r="C25"/>
  <c r="D25"/>
  <c r="E25"/>
  <c r="F25"/>
  <c r="G25"/>
  <c r="H25" s="1"/>
  <c r="W29"/>
  <c r="J30"/>
  <c r="R30"/>
  <c r="J31"/>
  <c r="R31"/>
  <c r="J32"/>
  <c r="R32"/>
  <c r="J33"/>
  <c r="R33"/>
  <c r="J34"/>
  <c r="R34"/>
  <c r="J35"/>
  <c r="R35"/>
  <c r="J36"/>
  <c r="R36"/>
  <c r="J37"/>
  <c r="R37"/>
  <c r="J38"/>
  <c r="R38"/>
  <c r="T38"/>
  <c r="U38" s="1"/>
  <c r="J39"/>
  <c r="R39"/>
  <c r="J40"/>
  <c r="R40"/>
  <c r="J41"/>
  <c r="R41"/>
  <c r="J42"/>
  <c r="R42"/>
  <c r="J43"/>
  <c r="R43"/>
  <c r="R44"/>
  <c r="J45"/>
  <c r="R45"/>
  <c r="B46"/>
  <c r="G46" s="1"/>
  <c r="J46"/>
  <c r="E46" s="1"/>
  <c r="R46"/>
  <c r="B47"/>
  <c r="C47" s="1"/>
  <c r="J47"/>
  <c r="R47"/>
  <c r="B48"/>
  <c r="R48"/>
  <c r="B49"/>
  <c r="C49"/>
  <c r="G49"/>
  <c r="J49"/>
  <c r="I49" s="1"/>
  <c r="L49"/>
  <c r="R49"/>
  <c r="B50"/>
  <c r="G50"/>
  <c r="J50"/>
  <c r="E50" s="1"/>
  <c r="R50"/>
  <c r="W50"/>
  <c r="AC50" s="1"/>
  <c r="B51"/>
  <c r="C51" s="1"/>
  <c r="J51"/>
  <c r="R51"/>
  <c r="B52"/>
  <c r="C52" s="1"/>
  <c r="R52"/>
  <c r="B53"/>
  <c r="C53"/>
  <c r="G53"/>
  <c r="J53"/>
  <c r="I53" s="1"/>
  <c r="L53"/>
  <c r="R53"/>
  <c r="J56"/>
  <c r="R56"/>
  <c r="J57"/>
  <c r="R57"/>
  <c r="J58"/>
  <c r="R58"/>
  <c r="J59"/>
  <c r="R59"/>
  <c r="J60"/>
  <c r="R60"/>
  <c r="J61"/>
  <c r="R61"/>
  <c r="J62"/>
  <c r="R62"/>
  <c r="J63"/>
  <c r="R63"/>
  <c r="J64"/>
  <c r="R64"/>
  <c r="J65"/>
  <c r="R65"/>
  <c r="J66"/>
  <c r="R66"/>
  <c r="J67"/>
  <c r="R67"/>
  <c r="J68"/>
  <c r="R68"/>
  <c r="J69"/>
  <c r="R69"/>
  <c r="J70"/>
  <c r="R70"/>
  <c r="J71"/>
  <c r="R71"/>
  <c r="B72"/>
  <c r="C72" s="1"/>
  <c r="E72"/>
  <c r="J72"/>
  <c r="R72"/>
  <c r="B73"/>
  <c r="C73" s="1"/>
  <c r="J73"/>
  <c r="R73"/>
  <c r="B74"/>
  <c r="C74" s="1"/>
  <c r="J74"/>
  <c r="R74"/>
  <c r="B75"/>
  <c r="C75" s="1"/>
  <c r="J75"/>
  <c r="E75" s="1"/>
  <c r="R75"/>
  <c r="B76"/>
  <c r="C76" s="1"/>
  <c r="J76"/>
  <c r="R76"/>
  <c r="B77"/>
  <c r="C77" s="1"/>
  <c r="J77"/>
  <c r="E77" s="1"/>
  <c r="R77"/>
  <c r="B78"/>
  <c r="C78" s="1"/>
  <c r="J78"/>
  <c r="R78"/>
  <c r="B79"/>
  <c r="C79" s="1"/>
  <c r="J79"/>
  <c r="E79" s="1"/>
  <c r="R79"/>
  <c r="J82"/>
  <c r="R82"/>
  <c r="J83"/>
  <c r="I83" s="1"/>
  <c r="R83"/>
  <c r="J84"/>
  <c r="I84" s="1"/>
  <c r="R84"/>
  <c r="J85"/>
  <c r="I85" s="1"/>
  <c r="R85"/>
  <c r="J86"/>
  <c r="I86" s="1"/>
  <c r="R86"/>
  <c r="J87"/>
  <c r="I87" s="1"/>
  <c r="R87"/>
  <c r="J88"/>
  <c r="R88"/>
  <c r="J89"/>
  <c r="I89" s="1"/>
  <c r="R89"/>
  <c r="J90"/>
  <c r="R90"/>
  <c r="T90"/>
  <c r="U90" s="1"/>
  <c r="J91"/>
  <c r="I91" s="1"/>
  <c r="R91"/>
  <c r="J92"/>
  <c r="R92"/>
  <c r="J93"/>
  <c r="I93" s="1"/>
  <c r="R93"/>
  <c r="J94"/>
  <c r="R94"/>
  <c r="J95"/>
  <c r="I95" s="1"/>
  <c r="R95"/>
  <c r="J96"/>
  <c r="R96"/>
  <c r="J97"/>
  <c r="I97" s="1"/>
  <c r="R97"/>
  <c r="B98"/>
  <c r="C98" s="1"/>
  <c r="J98"/>
  <c r="R98"/>
  <c r="W98"/>
  <c r="AC98" s="1"/>
  <c r="B99"/>
  <c r="C99" s="1"/>
  <c r="J99"/>
  <c r="I99" s="1"/>
  <c r="R99"/>
  <c r="W99"/>
  <c r="AC99" s="1"/>
  <c r="B100"/>
  <c r="C100" s="1"/>
  <c r="G100"/>
  <c r="J100"/>
  <c r="L100"/>
  <c r="R100"/>
  <c r="B101"/>
  <c r="C101" s="1"/>
  <c r="J101"/>
  <c r="I101" s="1"/>
  <c r="R101"/>
  <c r="B102"/>
  <c r="C102" s="1"/>
  <c r="G102"/>
  <c r="J102"/>
  <c r="L102"/>
  <c r="R102"/>
  <c r="W102"/>
  <c r="AC102" s="1"/>
  <c r="B103"/>
  <c r="C103" s="1"/>
  <c r="J103"/>
  <c r="E103" s="1"/>
  <c r="R103"/>
  <c r="W103"/>
  <c r="AC103" s="1"/>
  <c r="B104"/>
  <c r="C104" s="1"/>
  <c r="G104"/>
  <c r="J104"/>
  <c r="L104"/>
  <c r="R104"/>
  <c r="B105"/>
  <c r="C105" s="1"/>
  <c r="J105"/>
  <c r="I105" s="1"/>
  <c r="R105"/>
  <c r="J108"/>
  <c r="R108"/>
  <c r="J109"/>
  <c r="R109"/>
  <c r="J110"/>
  <c r="R110"/>
  <c r="J111"/>
  <c r="R111"/>
  <c r="J112"/>
  <c r="R112"/>
  <c r="J113"/>
  <c r="R113"/>
  <c r="J114"/>
  <c r="R114"/>
  <c r="J115"/>
  <c r="R115"/>
  <c r="J116"/>
  <c r="R116"/>
  <c r="J117"/>
  <c r="R117"/>
  <c r="J118"/>
  <c r="R118"/>
  <c r="J119"/>
  <c r="R119"/>
  <c r="J120"/>
  <c r="R120"/>
  <c r="J121"/>
  <c r="R121"/>
  <c r="J122"/>
  <c r="R122"/>
  <c r="J123"/>
  <c r="R123"/>
  <c r="B124"/>
  <c r="C124" s="1"/>
  <c r="J124"/>
  <c r="R124"/>
  <c r="B125"/>
  <c r="C125" s="1"/>
  <c r="J125"/>
  <c r="R125"/>
  <c r="B126"/>
  <c r="C126" s="1"/>
  <c r="J126"/>
  <c r="E126" s="1"/>
  <c r="R126"/>
  <c r="B127"/>
  <c r="C127" s="1"/>
  <c r="J127"/>
  <c r="E127" s="1"/>
  <c r="R127"/>
  <c r="B128"/>
  <c r="C128" s="1"/>
  <c r="J128"/>
  <c r="E128" s="1"/>
  <c r="R128"/>
  <c r="B129"/>
  <c r="C129" s="1"/>
  <c r="J129"/>
  <c r="E129" s="1"/>
  <c r="R129"/>
  <c r="B130"/>
  <c r="C130" s="1"/>
  <c r="J130"/>
  <c r="E130" s="1"/>
  <c r="R130"/>
  <c r="B131"/>
  <c r="C131" s="1"/>
  <c r="J131"/>
  <c r="E131" s="1"/>
  <c r="R131"/>
  <c r="W133"/>
  <c r="J134"/>
  <c r="R134"/>
  <c r="J135"/>
  <c r="R135"/>
  <c r="J136"/>
  <c r="R136"/>
  <c r="J137"/>
  <c r="R137"/>
  <c r="J138"/>
  <c r="R138"/>
  <c r="J139"/>
  <c r="R139"/>
  <c r="J140"/>
  <c r="R140"/>
  <c r="J141"/>
  <c r="R141"/>
  <c r="J142"/>
  <c r="R142"/>
  <c r="T142"/>
  <c r="U142" s="1"/>
  <c r="J143"/>
  <c r="R143"/>
  <c r="J144"/>
  <c r="R144"/>
  <c r="J145"/>
  <c r="R145"/>
  <c r="J146"/>
  <c r="R146"/>
  <c r="J147"/>
  <c r="R147"/>
  <c r="J148"/>
  <c r="R148"/>
  <c r="J149"/>
  <c r="R149"/>
  <c r="B150"/>
  <c r="C150" s="1"/>
  <c r="G150"/>
  <c r="J150"/>
  <c r="L150"/>
  <c r="R150"/>
  <c r="B151"/>
  <c r="C151" s="1"/>
  <c r="J151"/>
  <c r="I151" s="1"/>
  <c r="R151"/>
  <c r="W151"/>
  <c r="AC151" s="1"/>
  <c r="B152"/>
  <c r="C152" s="1"/>
  <c r="G152"/>
  <c r="J152"/>
  <c r="L152"/>
  <c r="R152"/>
  <c r="B153"/>
  <c r="C153" s="1"/>
  <c r="J153"/>
  <c r="I153" s="1"/>
  <c r="R153"/>
  <c r="W153"/>
  <c r="AC153" s="1"/>
  <c r="B154"/>
  <c r="C154" s="1"/>
  <c r="G154"/>
  <c r="J154"/>
  <c r="L154"/>
  <c r="R154"/>
  <c r="B155"/>
  <c r="C155" s="1"/>
  <c r="J155"/>
  <c r="E155" s="1"/>
  <c r="R155"/>
  <c r="W155"/>
  <c r="AC155" s="1"/>
  <c r="B156"/>
  <c r="C156" s="1"/>
  <c r="G156"/>
  <c r="J156"/>
  <c r="L156"/>
  <c r="R156"/>
  <c r="B157"/>
  <c r="C157" s="1"/>
  <c r="J157"/>
  <c r="I157" s="1"/>
  <c r="R157"/>
  <c r="W157"/>
  <c r="AC157" s="1"/>
  <c r="J160"/>
  <c r="R160"/>
  <c r="J161"/>
  <c r="R161"/>
  <c r="J162"/>
  <c r="R162"/>
  <c r="J163"/>
  <c r="R163"/>
  <c r="J164"/>
  <c r="R164"/>
  <c r="J165"/>
  <c r="R165"/>
  <c r="J166"/>
  <c r="R166"/>
  <c r="J167"/>
  <c r="R167"/>
  <c r="J168"/>
  <c r="R168"/>
  <c r="J169"/>
  <c r="R169"/>
  <c r="J170"/>
  <c r="R170"/>
  <c r="J171"/>
  <c r="R171"/>
  <c r="J172"/>
  <c r="R172"/>
  <c r="J173"/>
  <c r="R173"/>
  <c r="J174"/>
  <c r="R174"/>
  <c r="J175"/>
  <c r="R175"/>
  <c r="B176"/>
  <c r="C176" s="1"/>
  <c r="G176"/>
  <c r="J176"/>
  <c r="L176"/>
  <c r="R176"/>
  <c r="B177"/>
  <c r="C177" s="1"/>
  <c r="G177"/>
  <c r="J177"/>
  <c r="L177"/>
  <c r="R177"/>
  <c r="B178"/>
  <c r="C178" s="1"/>
  <c r="G178"/>
  <c r="J178"/>
  <c r="L178"/>
  <c r="R178"/>
  <c r="B179"/>
  <c r="C179" s="1"/>
  <c r="G179"/>
  <c r="J179"/>
  <c r="L179"/>
  <c r="R179"/>
  <c r="B180"/>
  <c r="C180" s="1"/>
  <c r="G180"/>
  <c r="J180"/>
  <c r="L180"/>
  <c r="R180"/>
  <c r="B181"/>
  <c r="C181" s="1"/>
  <c r="G181"/>
  <c r="J181"/>
  <c r="L181"/>
  <c r="R181"/>
  <c r="B182"/>
  <c r="C182" s="1"/>
  <c r="G182"/>
  <c r="J182"/>
  <c r="L182"/>
  <c r="R182"/>
  <c r="B183"/>
  <c r="C183" s="1"/>
  <c r="G183"/>
  <c r="J183"/>
  <c r="L183"/>
  <c r="R183"/>
  <c r="J186"/>
  <c r="I186" s="1"/>
  <c r="R186"/>
  <c r="J187"/>
  <c r="I187" s="1"/>
  <c r="R187"/>
  <c r="J188"/>
  <c r="I188" s="1"/>
  <c r="R188"/>
  <c r="J189"/>
  <c r="I189" s="1"/>
  <c r="R189"/>
  <c r="J190"/>
  <c r="I190" s="1"/>
  <c r="R190"/>
  <c r="J191"/>
  <c r="I191" s="1"/>
  <c r="R191"/>
  <c r="J192"/>
  <c r="R192"/>
  <c r="J193"/>
  <c r="I193" s="1"/>
  <c r="R193"/>
  <c r="J194"/>
  <c r="R194"/>
  <c r="T194"/>
  <c r="U194" s="1"/>
  <c r="J195"/>
  <c r="I195" s="1"/>
  <c r="R195"/>
  <c r="J196"/>
  <c r="R196"/>
  <c r="I197"/>
  <c r="J197"/>
  <c r="R197"/>
  <c r="J198"/>
  <c r="R198"/>
  <c r="J199"/>
  <c r="I199" s="1"/>
  <c r="R199"/>
  <c r="J200"/>
  <c r="R200"/>
  <c r="J201"/>
  <c r="I201" s="1"/>
  <c r="R201"/>
  <c r="B202"/>
  <c r="C202" s="1"/>
  <c r="J202"/>
  <c r="R202"/>
  <c r="W202"/>
  <c r="AC202" s="1"/>
  <c r="B203"/>
  <c r="C203" s="1"/>
  <c r="J203"/>
  <c r="I203" s="1"/>
  <c r="R203"/>
  <c r="W203"/>
  <c r="AC203" s="1"/>
  <c r="B204"/>
  <c r="C204" s="1"/>
  <c r="G204"/>
  <c r="J204"/>
  <c r="L204"/>
  <c r="R204"/>
  <c r="W204"/>
  <c r="AC204" s="1"/>
  <c r="B205"/>
  <c r="C205" s="1"/>
  <c r="J205"/>
  <c r="E205" s="1"/>
  <c r="R205"/>
  <c r="W205"/>
  <c r="AC205" s="1"/>
  <c r="B206"/>
  <c r="C206" s="1"/>
  <c r="G206"/>
  <c r="J206"/>
  <c r="L206"/>
  <c r="R206"/>
  <c r="W206"/>
  <c r="AC206" s="1"/>
  <c r="B207"/>
  <c r="C207" s="1"/>
  <c r="I207"/>
  <c r="J207"/>
  <c r="R207"/>
  <c r="B208"/>
  <c r="C208"/>
  <c r="G208"/>
  <c r="J208"/>
  <c r="E208" s="1"/>
  <c r="L208"/>
  <c r="R208"/>
  <c r="W208"/>
  <c r="AC208"/>
  <c r="B209"/>
  <c r="C209" s="1"/>
  <c r="G209"/>
  <c r="J209"/>
  <c r="E209" s="1"/>
  <c r="R209"/>
  <c r="J212"/>
  <c r="R212"/>
  <c r="J213"/>
  <c r="R213"/>
  <c r="J214"/>
  <c r="R214"/>
  <c r="J215"/>
  <c r="R215"/>
  <c r="J216"/>
  <c r="R216"/>
  <c r="J217"/>
  <c r="R217"/>
  <c r="J218"/>
  <c r="R218"/>
  <c r="J219"/>
  <c r="R219"/>
  <c r="J220"/>
  <c r="R220"/>
  <c r="J221"/>
  <c r="R221"/>
  <c r="J222"/>
  <c r="R222"/>
  <c r="J223"/>
  <c r="R223"/>
  <c r="J224"/>
  <c r="R224"/>
  <c r="J225"/>
  <c r="R225"/>
  <c r="J226"/>
  <c r="R226"/>
  <c r="J227"/>
  <c r="R227"/>
  <c r="B228"/>
  <c r="E228" s="1"/>
  <c r="J228"/>
  <c r="R228"/>
  <c r="B229"/>
  <c r="J229"/>
  <c r="R229"/>
  <c r="B230"/>
  <c r="J230"/>
  <c r="R230"/>
  <c r="B231"/>
  <c r="J231"/>
  <c r="E231" s="1"/>
  <c r="R231"/>
  <c r="B232"/>
  <c r="J232"/>
  <c r="R232"/>
  <c r="B233"/>
  <c r="J233"/>
  <c r="E233" s="1"/>
  <c r="R233"/>
  <c r="B234"/>
  <c r="J234"/>
  <c r="R234"/>
  <c r="B235"/>
  <c r="J235"/>
  <c r="E235" s="1"/>
  <c r="R235"/>
  <c r="W237"/>
  <c r="J238"/>
  <c r="R238"/>
  <c r="J239"/>
  <c r="R239"/>
  <c r="J240"/>
  <c r="R240"/>
  <c r="J241"/>
  <c r="R241"/>
  <c r="J242"/>
  <c r="R242"/>
  <c r="J243"/>
  <c r="R243"/>
  <c r="J244"/>
  <c r="R244"/>
  <c r="J245"/>
  <c r="R245"/>
  <c r="J246"/>
  <c r="R246"/>
  <c r="T246"/>
  <c r="U246"/>
  <c r="J247"/>
  <c r="R247"/>
  <c r="J248"/>
  <c r="R248"/>
  <c r="J249"/>
  <c r="R249"/>
  <c r="J250"/>
  <c r="R250"/>
  <c r="J251"/>
  <c r="R251"/>
  <c r="J252"/>
  <c r="R252"/>
  <c r="J253"/>
  <c r="R253"/>
  <c r="B254"/>
  <c r="G254"/>
  <c r="J254"/>
  <c r="E254" s="1"/>
  <c r="R254"/>
  <c r="W254"/>
  <c r="AC254" s="1"/>
  <c r="B255"/>
  <c r="C255" s="1"/>
  <c r="J255"/>
  <c r="W307" s="1"/>
  <c r="AC307" s="1"/>
  <c r="R255"/>
  <c r="B256"/>
  <c r="G256" s="1"/>
  <c r="I256"/>
  <c r="J256"/>
  <c r="R256"/>
  <c r="W256"/>
  <c r="AC256" s="1"/>
  <c r="B257"/>
  <c r="C257" s="1"/>
  <c r="J257"/>
  <c r="R257"/>
  <c r="B258"/>
  <c r="G258"/>
  <c r="D258" s="1"/>
  <c r="J258"/>
  <c r="E258" s="1"/>
  <c r="R258"/>
  <c r="W258"/>
  <c r="AC258" s="1"/>
  <c r="B259"/>
  <c r="C259" s="1"/>
  <c r="J259"/>
  <c r="R259"/>
  <c r="B260"/>
  <c r="G260" s="1"/>
  <c r="I260"/>
  <c r="J260"/>
  <c r="R260"/>
  <c r="W260"/>
  <c r="AC260" s="1"/>
  <c r="B261"/>
  <c r="C261" s="1"/>
  <c r="J261"/>
  <c r="R261"/>
  <c r="J264"/>
  <c r="R264"/>
  <c r="J265"/>
  <c r="R265"/>
  <c r="J266"/>
  <c r="R266"/>
  <c r="J267"/>
  <c r="R267"/>
  <c r="J268"/>
  <c r="R268"/>
  <c r="J269"/>
  <c r="R269"/>
  <c r="J270"/>
  <c r="R270"/>
  <c r="J271"/>
  <c r="R271"/>
  <c r="J272"/>
  <c r="R272"/>
  <c r="J273"/>
  <c r="R273"/>
  <c r="J274"/>
  <c r="R274"/>
  <c r="J275"/>
  <c r="R275"/>
  <c r="J276"/>
  <c r="R276"/>
  <c r="J277"/>
  <c r="R277"/>
  <c r="J278"/>
  <c r="R278"/>
  <c r="J279"/>
  <c r="R279"/>
  <c r="B280"/>
  <c r="C280"/>
  <c r="G280"/>
  <c r="J280"/>
  <c r="E280" s="1"/>
  <c r="L280"/>
  <c r="R280"/>
  <c r="B281"/>
  <c r="C281"/>
  <c r="G281"/>
  <c r="J281"/>
  <c r="E281" s="1"/>
  <c r="L281"/>
  <c r="R281"/>
  <c r="B282"/>
  <c r="C282"/>
  <c r="G282"/>
  <c r="J282"/>
  <c r="E282" s="1"/>
  <c r="L282"/>
  <c r="R282"/>
  <c r="B283"/>
  <c r="C283"/>
  <c r="G283"/>
  <c r="J283"/>
  <c r="E283" s="1"/>
  <c r="L283"/>
  <c r="R283"/>
  <c r="B284"/>
  <c r="C284"/>
  <c r="G284"/>
  <c r="J284"/>
  <c r="E284" s="1"/>
  <c r="L284"/>
  <c r="R284"/>
  <c r="B285"/>
  <c r="C285"/>
  <c r="G285"/>
  <c r="J285"/>
  <c r="E285" s="1"/>
  <c r="L285"/>
  <c r="R285"/>
  <c r="B286"/>
  <c r="C286"/>
  <c r="G286"/>
  <c r="J286"/>
  <c r="E286" s="1"/>
  <c r="L286"/>
  <c r="R286"/>
  <c r="B287"/>
  <c r="C287"/>
  <c r="G287"/>
  <c r="J287"/>
  <c r="E287" s="1"/>
  <c r="L287"/>
  <c r="R287"/>
  <c r="J290"/>
  <c r="I290" s="1"/>
  <c r="R290"/>
  <c r="J291"/>
  <c r="I291" s="1"/>
  <c r="R291"/>
  <c r="J292"/>
  <c r="I292" s="1"/>
  <c r="R292"/>
  <c r="I293"/>
  <c r="J293"/>
  <c r="R293"/>
  <c r="J294"/>
  <c r="I294" s="1"/>
  <c r="R294"/>
  <c r="J295"/>
  <c r="I295" s="1"/>
  <c r="R295"/>
  <c r="J296"/>
  <c r="R296"/>
  <c r="J297"/>
  <c r="I297" s="1"/>
  <c r="R297"/>
  <c r="J298"/>
  <c r="R298"/>
  <c r="T298"/>
  <c r="U298" s="1"/>
  <c r="J299"/>
  <c r="I299" s="1"/>
  <c r="R299"/>
  <c r="J300"/>
  <c r="R300"/>
  <c r="J301"/>
  <c r="I301" s="1"/>
  <c r="R301"/>
  <c r="J302"/>
  <c r="R302"/>
  <c r="J303"/>
  <c r="I303" s="1"/>
  <c r="R303"/>
  <c r="J304"/>
  <c r="R304"/>
  <c r="I305"/>
  <c r="J305"/>
  <c r="R305"/>
  <c r="B306"/>
  <c r="C306" s="1"/>
  <c r="G306"/>
  <c r="J306"/>
  <c r="L306"/>
  <c r="R306"/>
  <c r="W306"/>
  <c r="AC306" s="1"/>
  <c r="B307"/>
  <c r="C307" s="1"/>
  <c r="I307"/>
  <c r="J307"/>
  <c r="R307"/>
  <c r="B308"/>
  <c r="C308"/>
  <c r="G308"/>
  <c r="J308"/>
  <c r="E308" s="1"/>
  <c r="L308"/>
  <c r="R308"/>
  <c r="W308"/>
  <c r="AC308"/>
  <c r="B309"/>
  <c r="C309" s="1"/>
  <c r="G309"/>
  <c r="J309"/>
  <c r="E309" s="1"/>
  <c r="R309"/>
  <c r="W309"/>
  <c r="AC309" s="1"/>
  <c r="B310"/>
  <c r="C310" s="1"/>
  <c r="J310"/>
  <c r="R310"/>
  <c r="W310"/>
  <c r="AC310" s="1"/>
  <c r="B311"/>
  <c r="C311" s="1"/>
  <c r="J311"/>
  <c r="I311" s="1"/>
  <c r="R311"/>
  <c r="W311"/>
  <c r="AC311" s="1"/>
  <c r="B312"/>
  <c r="C312" s="1"/>
  <c r="G312"/>
  <c r="J312"/>
  <c r="L312"/>
  <c r="R312"/>
  <c r="W312"/>
  <c r="AC312" s="1"/>
  <c r="B313"/>
  <c r="C313" s="1"/>
  <c r="J313"/>
  <c r="E313" s="1"/>
  <c r="R313"/>
  <c r="W313"/>
  <c r="AC313" s="1"/>
  <c r="J316"/>
  <c r="R316"/>
  <c r="J317"/>
  <c r="R317"/>
  <c r="J318"/>
  <c r="R318"/>
  <c r="J319"/>
  <c r="R319"/>
  <c r="J320"/>
  <c r="R320"/>
  <c r="J321"/>
  <c r="R321"/>
  <c r="J322"/>
  <c r="R322"/>
  <c r="J323"/>
  <c r="R323"/>
  <c r="J324"/>
  <c r="R324"/>
  <c r="J325"/>
  <c r="R325"/>
  <c r="J326"/>
  <c r="R326"/>
  <c r="J327"/>
  <c r="R327"/>
  <c r="J328"/>
  <c r="R328"/>
  <c r="J329"/>
  <c r="R329"/>
  <c r="J330"/>
  <c r="R330"/>
  <c r="J331"/>
  <c r="R331"/>
  <c r="B332"/>
  <c r="C332" s="1"/>
  <c r="J332"/>
  <c r="R332"/>
  <c r="B333"/>
  <c r="C333" s="1"/>
  <c r="J333"/>
  <c r="R333"/>
  <c r="B334"/>
  <c r="C334" s="1"/>
  <c r="J334"/>
  <c r="E334" s="1"/>
  <c r="R334"/>
  <c r="B335"/>
  <c r="C335" s="1"/>
  <c r="J335"/>
  <c r="R335"/>
  <c r="B336"/>
  <c r="C336" s="1"/>
  <c r="J336"/>
  <c r="E336" s="1"/>
  <c r="R336"/>
  <c r="B337"/>
  <c r="C337" s="1"/>
  <c r="J337"/>
  <c r="R337"/>
  <c r="B338"/>
  <c r="C338" s="1"/>
  <c r="J338"/>
  <c r="E338" s="1"/>
  <c r="R338"/>
  <c r="B339"/>
  <c r="C339" s="1"/>
  <c r="J339"/>
  <c r="R339"/>
  <c r="W341"/>
  <c r="J342"/>
  <c r="R342"/>
  <c r="J343"/>
  <c r="R343"/>
  <c r="J344"/>
  <c r="R344"/>
  <c r="J345"/>
  <c r="R345"/>
  <c r="J346"/>
  <c r="R346"/>
  <c r="J347"/>
  <c r="R347"/>
  <c r="J348"/>
  <c r="R348"/>
  <c r="J349"/>
  <c r="R349"/>
  <c r="J350"/>
  <c r="R350"/>
  <c r="T350"/>
  <c r="U350" s="1"/>
  <c r="J351"/>
  <c r="R351"/>
  <c r="J352"/>
  <c r="R352"/>
  <c r="J353"/>
  <c r="R353"/>
  <c r="J354"/>
  <c r="R354"/>
  <c r="J355"/>
  <c r="R355"/>
  <c r="J356"/>
  <c r="R356"/>
  <c r="J357"/>
  <c r="R357"/>
  <c r="B358"/>
  <c r="G358" s="1"/>
  <c r="J358"/>
  <c r="R358"/>
  <c r="W358"/>
  <c r="AC358" s="1"/>
  <c r="B359"/>
  <c r="J359"/>
  <c r="W411" s="1"/>
  <c r="AC411" s="1"/>
  <c r="R359"/>
  <c r="B360"/>
  <c r="G360" s="1"/>
  <c r="J360"/>
  <c r="I360" s="1"/>
  <c r="R360"/>
  <c r="W360"/>
  <c r="AC360" s="1"/>
  <c r="B361"/>
  <c r="J361"/>
  <c r="R361"/>
  <c r="B362"/>
  <c r="G362" s="1"/>
  <c r="J362"/>
  <c r="R362"/>
  <c r="W362"/>
  <c r="AC362" s="1"/>
  <c r="B363"/>
  <c r="C363" s="1"/>
  <c r="G363"/>
  <c r="J363"/>
  <c r="L363"/>
  <c r="R363"/>
  <c r="B364"/>
  <c r="J364"/>
  <c r="I364" s="1"/>
  <c r="R364"/>
  <c r="W364"/>
  <c r="AC364" s="1"/>
  <c r="B365"/>
  <c r="C365" s="1"/>
  <c r="G365"/>
  <c r="J365"/>
  <c r="L365"/>
  <c r="R365"/>
  <c r="J368"/>
  <c r="R368"/>
  <c r="J369"/>
  <c r="R369"/>
  <c r="J370"/>
  <c r="R370"/>
  <c r="J371"/>
  <c r="R371"/>
  <c r="J372"/>
  <c r="R372"/>
  <c r="J373"/>
  <c r="R373"/>
  <c r="J374"/>
  <c r="R374"/>
  <c r="J375"/>
  <c r="R375"/>
  <c r="J376"/>
  <c r="R376"/>
  <c r="J377"/>
  <c r="R377"/>
  <c r="J378"/>
  <c r="R378"/>
  <c r="J379"/>
  <c r="R379"/>
  <c r="J380"/>
  <c r="R380"/>
  <c r="J381"/>
  <c r="R381"/>
  <c r="J382"/>
  <c r="R382"/>
  <c r="J383"/>
  <c r="R383"/>
  <c r="B384"/>
  <c r="C384" s="1"/>
  <c r="J384"/>
  <c r="R384"/>
  <c r="B385"/>
  <c r="C385" s="1"/>
  <c r="J385"/>
  <c r="R385"/>
  <c r="B386"/>
  <c r="C386" s="1"/>
  <c r="J386"/>
  <c r="E386" s="1"/>
  <c r="R386"/>
  <c r="B387"/>
  <c r="C387" s="1"/>
  <c r="J387"/>
  <c r="E387" s="1"/>
  <c r="R387"/>
  <c r="B388"/>
  <c r="C388" s="1"/>
  <c r="J388"/>
  <c r="E388" s="1"/>
  <c r="R388"/>
  <c r="B389"/>
  <c r="C389" s="1"/>
  <c r="J389"/>
  <c r="E389" s="1"/>
  <c r="R389"/>
  <c r="B390"/>
  <c r="C390" s="1"/>
  <c r="J390"/>
  <c r="E390" s="1"/>
  <c r="R390"/>
  <c r="B391"/>
  <c r="C391" s="1"/>
  <c r="J391"/>
  <c r="E391" s="1"/>
  <c r="R391"/>
  <c r="J394"/>
  <c r="R394"/>
  <c r="J395"/>
  <c r="R395"/>
  <c r="J396"/>
  <c r="R396"/>
  <c r="J397"/>
  <c r="R397"/>
  <c r="J398"/>
  <c r="R398"/>
  <c r="J399"/>
  <c r="R399"/>
  <c r="J400"/>
  <c r="I400" s="1"/>
  <c r="R400"/>
  <c r="J401"/>
  <c r="R401"/>
  <c r="I402"/>
  <c r="J402"/>
  <c r="R402"/>
  <c r="T402"/>
  <c r="U402"/>
  <c r="J403"/>
  <c r="R403"/>
  <c r="J404"/>
  <c r="I404" s="1"/>
  <c r="R404"/>
  <c r="J405"/>
  <c r="R405"/>
  <c r="J406"/>
  <c r="I406" s="1"/>
  <c r="R406"/>
  <c r="J407"/>
  <c r="R407"/>
  <c r="J408"/>
  <c r="I408" s="1"/>
  <c r="R408"/>
  <c r="J409"/>
  <c r="R409"/>
  <c r="B410"/>
  <c r="J410"/>
  <c r="I410" s="1"/>
  <c r="R410"/>
  <c r="B411"/>
  <c r="J411"/>
  <c r="R411"/>
  <c r="B412"/>
  <c r="J412"/>
  <c r="I412" s="1"/>
  <c r="R412"/>
  <c r="W412"/>
  <c r="AC412" s="1"/>
  <c r="B413"/>
  <c r="C413" s="1"/>
  <c r="G413"/>
  <c r="J413"/>
  <c r="L413"/>
  <c r="R413"/>
  <c r="B414"/>
  <c r="C414" s="1"/>
  <c r="J414"/>
  <c r="R414"/>
  <c r="B415"/>
  <c r="C415" s="1"/>
  <c r="J415"/>
  <c r="R415"/>
  <c r="W415"/>
  <c r="AC415" s="1"/>
  <c r="B416"/>
  <c r="J416"/>
  <c r="I416" s="1"/>
  <c r="R416"/>
  <c r="W416"/>
  <c r="AC416" s="1"/>
  <c r="B417"/>
  <c r="C417" s="1"/>
  <c r="G417"/>
  <c r="J417"/>
  <c r="L417"/>
  <c r="R417"/>
  <c r="J420"/>
  <c r="R420"/>
  <c r="J421"/>
  <c r="R421"/>
  <c r="J422"/>
  <c r="R422"/>
  <c r="J423"/>
  <c r="R423"/>
  <c r="J424"/>
  <c r="R424"/>
  <c r="J425"/>
  <c r="R425"/>
  <c r="J426"/>
  <c r="R426"/>
  <c r="J427"/>
  <c r="R427"/>
  <c r="J428"/>
  <c r="R428"/>
  <c r="J429"/>
  <c r="R429"/>
  <c r="J430"/>
  <c r="R430"/>
  <c r="J431"/>
  <c r="R431"/>
  <c r="J432"/>
  <c r="R432"/>
  <c r="J433"/>
  <c r="R433"/>
  <c r="J434"/>
  <c r="R434"/>
  <c r="J435"/>
  <c r="R435"/>
  <c r="B436"/>
  <c r="C436" s="1"/>
  <c r="G436"/>
  <c r="J436"/>
  <c r="L436"/>
  <c r="R436"/>
  <c r="B437"/>
  <c r="C437" s="1"/>
  <c r="G437"/>
  <c r="J437"/>
  <c r="L437"/>
  <c r="R437"/>
  <c r="B438"/>
  <c r="C438" s="1"/>
  <c r="G438"/>
  <c r="J438"/>
  <c r="L438"/>
  <c r="R438"/>
  <c r="B439"/>
  <c r="C439" s="1"/>
  <c r="G439"/>
  <c r="J439"/>
  <c r="L439"/>
  <c r="R439"/>
  <c r="B440"/>
  <c r="C440" s="1"/>
  <c r="G440"/>
  <c r="J440"/>
  <c r="L440"/>
  <c r="R440"/>
  <c r="B441"/>
  <c r="C441" s="1"/>
  <c r="G441"/>
  <c r="J441"/>
  <c r="L441"/>
  <c r="R441"/>
  <c r="B442"/>
  <c r="C442" s="1"/>
  <c r="G442"/>
  <c r="J442"/>
  <c r="L442"/>
  <c r="R442"/>
  <c r="B443"/>
  <c r="C443" s="1"/>
  <c r="G443"/>
  <c r="J443"/>
  <c r="L443"/>
  <c r="R443"/>
  <c r="W445"/>
  <c r="J446"/>
  <c r="R446"/>
  <c r="J447"/>
  <c r="R447"/>
  <c r="J448"/>
  <c r="R448"/>
  <c r="J449"/>
  <c r="R449"/>
  <c r="J450"/>
  <c r="R450"/>
  <c r="J451"/>
  <c r="R451"/>
  <c r="J452"/>
  <c r="R452"/>
  <c r="J453"/>
  <c r="R453"/>
  <c r="J454"/>
  <c r="R454"/>
  <c r="T454"/>
  <c r="U454" s="1"/>
  <c r="J455"/>
  <c r="R455"/>
  <c r="J456"/>
  <c r="R456"/>
  <c r="J457"/>
  <c r="R457"/>
  <c r="J458"/>
  <c r="R458"/>
  <c r="J459"/>
  <c r="R459"/>
  <c r="J460"/>
  <c r="R460"/>
  <c r="J461"/>
  <c r="R461"/>
  <c r="B462"/>
  <c r="C462"/>
  <c r="G462"/>
  <c r="J462"/>
  <c r="E462" s="1"/>
  <c r="L462"/>
  <c r="R462"/>
  <c r="B463"/>
  <c r="C463" s="1"/>
  <c r="G463"/>
  <c r="D463" s="1"/>
  <c r="J463"/>
  <c r="R463"/>
  <c r="W463"/>
  <c r="AC463" s="1"/>
  <c r="B464"/>
  <c r="J464"/>
  <c r="R464"/>
  <c r="B465"/>
  <c r="I465"/>
  <c r="J465"/>
  <c r="R465"/>
  <c r="W465"/>
  <c r="AC465"/>
  <c r="B466"/>
  <c r="C466"/>
  <c r="G466"/>
  <c r="J466"/>
  <c r="L466"/>
  <c r="R466"/>
  <c r="B467"/>
  <c r="C467" s="1"/>
  <c r="G467"/>
  <c r="D467" s="1"/>
  <c r="J467"/>
  <c r="R467"/>
  <c r="W467"/>
  <c r="AC467" s="1"/>
  <c r="B468"/>
  <c r="J468"/>
  <c r="R468"/>
  <c r="B469"/>
  <c r="I469"/>
  <c r="J469"/>
  <c r="R469"/>
  <c r="W469"/>
  <c r="AC469"/>
  <c r="J472"/>
  <c r="R472"/>
  <c r="J473"/>
  <c r="R473"/>
  <c r="J474"/>
  <c r="R474"/>
  <c r="J475"/>
  <c r="R475"/>
  <c r="J476"/>
  <c r="R476"/>
  <c r="J477"/>
  <c r="R477"/>
  <c r="J478"/>
  <c r="R478"/>
  <c r="J479"/>
  <c r="R479"/>
  <c r="J480"/>
  <c r="R480"/>
  <c r="J481"/>
  <c r="R481"/>
  <c r="J482"/>
  <c r="R482"/>
  <c r="J483"/>
  <c r="R483"/>
  <c r="J484"/>
  <c r="R484"/>
  <c r="J485"/>
  <c r="R485"/>
  <c r="J486"/>
  <c r="R486"/>
  <c r="J487"/>
  <c r="R487"/>
  <c r="B488"/>
  <c r="C488"/>
  <c r="G488"/>
  <c r="J488"/>
  <c r="E488" s="1"/>
  <c r="L488"/>
  <c r="R488"/>
  <c r="B489"/>
  <c r="C489"/>
  <c r="G489"/>
  <c r="J489"/>
  <c r="E489" s="1"/>
  <c r="L489"/>
  <c r="R489"/>
  <c r="B490"/>
  <c r="C490"/>
  <c r="G490"/>
  <c r="J490"/>
  <c r="E490" s="1"/>
  <c r="L490"/>
  <c r="R490"/>
  <c r="B491"/>
  <c r="C491"/>
  <c r="G491"/>
  <c r="J491"/>
  <c r="E491" s="1"/>
  <c r="L491"/>
  <c r="R491"/>
  <c r="B492"/>
  <c r="C492"/>
  <c r="G492"/>
  <c r="J492"/>
  <c r="E492" s="1"/>
  <c r="L492"/>
  <c r="R492"/>
  <c r="B493"/>
  <c r="C493"/>
  <c r="G493"/>
  <c r="J493"/>
  <c r="E493" s="1"/>
  <c r="L493"/>
  <c r="R493"/>
  <c r="B494"/>
  <c r="C494"/>
  <c r="G494"/>
  <c r="J494"/>
  <c r="E494" s="1"/>
  <c r="L494"/>
  <c r="R494"/>
  <c r="B495"/>
  <c r="C495"/>
  <c r="G495"/>
  <c r="J495"/>
  <c r="E495" s="1"/>
  <c r="L495"/>
  <c r="R495"/>
  <c r="J498"/>
  <c r="I498" s="1"/>
  <c r="R498"/>
  <c r="J499"/>
  <c r="I499" s="1"/>
  <c r="R499"/>
  <c r="J500"/>
  <c r="I500" s="1"/>
  <c r="R500"/>
  <c r="J501"/>
  <c r="I501" s="1"/>
  <c r="R501"/>
  <c r="J502"/>
  <c r="I502" s="1"/>
  <c r="R502"/>
  <c r="J503"/>
  <c r="I503" s="1"/>
  <c r="R503"/>
  <c r="J504"/>
  <c r="I504" s="1"/>
  <c r="R504"/>
  <c r="J505"/>
  <c r="I505" s="1"/>
  <c r="R505"/>
  <c r="J506"/>
  <c r="I506" s="1"/>
  <c r="R506"/>
  <c r="T506"/>
  <c r="U506" s="1"/>
  <c r="J507"/>
  <c r="I507" s="1"/>
  <c r="R507"/>
  <c r="J508"/>
  <c r="I508" s="1"/>
  <c r="R508"/>
  <c r="J509"/>
  <c r="I509" s="1"/>
  <c r="R509"/>
  <c r="J510"/>
  <c r="I510" s="1"/>
  <c r="R510"/>
  <c r="J511"/>
  <c r="I511" s="1"/>
  <c r="R511"/>
  <c r="J512"/>
  <c r="I512" s="1"/>
  <c r="R512"/>
  <c r="J513"/>
  <c r="I513" s="1"/>
  <c r="R513"/>
  <c r="B514"/>
  <c r="C514" s="1"/>
  <c r="G514"/>
  <c r="J514"/>
  <c r="I514" s="1"/>
  <c r="L514"/>
  <c r="R514"/>
  <c r="W514"/>
  <c r="AC514" s="1"/>
  <c r="B515"/>
  <c r="G515" s="1"/>
  <c r="I515"/>
  <c r="J515"/>
  <c r="R515"/>
  <c r="B516"/>
  <c r="C516"/>
  <c r="G516"/>
  <c r="J516"/>
  <c r="I516" s="1"/>
  <c r="L516"/>
  <c r="R516"/>
  <c r="W516"/>
  <c r="AC516"/>
  <c r="B517"/>
  <c r="G517"/>
  <c r="J517"/>
  <c r="R517"/>
  <c r="W517"/>
  <c r="AC517" s="1"/>
  <c r="B518"/>
  <c r="C518" s="1"/>
  <c r="G518"/>
  <c r="J518"/>
  <c r="I518" s="1"/>
  <c r="L518"/>
  <c r="R518"/>
  <c r="B519"/>
  <c r="G519" s="1"/>
  <c r="J519"/>
  <c r="R519"/>
  <c r="W519"/>
  <c r="AC519" s="1"/>
  <c r="B520"/>
  <c r="C520" s="1"/>
  <c r="G520"/>
  <c r="J520"/>
  <c r="I520" s="1"/>
  <c r="L520"/>
  <c r="R520"/>
  <c r="W520"/>
  <c r="AC520" s="1"/>
  <c r="B521"/>
  <c r="G521" s="1"/>
  <c r="I521"/>
  <c r="J521"/>
  <c r="R521"/>
  <c r="W521"/>
  <c r="AC521" s="1"/>
  <c r="J524"/>
  <c r="R524"/>
  <c r="J525"/>
  <c r="R525"/>
  <c r="J526"/>
  <c r="R526"/>
  <c r="J527"/>
  <c r="R527"/>
  <c r="J528"/>
  <c r="R528"/>
  <c r="J529"/>
  <c r="R529"/>
  <c r="J530"/>
  <c r="R530"/>
  <c r="J531"/>
  <c r="R531"/>
  <c r="J532"/>
  <c r="R532"/>
  <c r="J533"/>
  <c r="R533"/>
  <c r="J534"/>
  <c r="R534"/>
  <c r="J535"/>
  <c r="R535"/>
  <c r="J536"/>
  <c r="R536"/>
  <c r="J537"/>
  <c r="R537"/>
  <c r="J538"/>
  <c r="R538"/>
  <c r="J539"/>
  <c r="R539"/>
  <c r="B540"/>
  <c r="E540" s="1"/>
  <c r="J540"/>
  <c r="R540"/>
  <c r="B541"/>
  <c r="J541"/>
  <c r="R541"/>
  <c r="B542"/>
  <c r="E542" s="1"/>
  <c r="J542"/>
  <c r="R542"/>
  <c r="B543"/>
  <c r="J543"/>
  <c r="R543"/>
  <c r="B544"/>
  <c r="E544" s="1"/>
  <c r="J544"/>
  <c r="R544"/>
  <c r="B545"/>
  <c r="J545"/>
  <c r="R545"/>
  <c r="B546"/>
  <c r="E546" s="1"/>
  <c r="J546"/>
  <c r="R546"/>
  <c r="B547"/>
  <c r="J547"/>
  <c r="R547"/>
  <c r="W549"/>
  <c r="J550"/>
  <c r="R550"/>
  <c r="J551"/>
  <c r="R551"/>
  <c r="J552"/>
  <c r="R552"/>
  <c r="J553"/>
  <c r="R553"/>
  <c r="J554"/>
  <c r="R554"/>
  <c r="J555"/>
  <c r="R555"/>
  <c r="J556"/>
  <c r="R556"/>
  <c r="J557"/>
  <c r="R557"/>
  <c r="J558"/>
  <c r="R558"/>
  <c r="T558"/>
  <c r="U558" s="1"/>
  <c r="J559"/>
  <c r="R559"/>
  <c r="J560"/>
  <c r="R560"/>
  <c r="J561"/>
  <c r="R561"/>
  <c r="J562"/>
  <c r="R562"/>
  <c r="J563"/>
  <c r="R563"/>
  <c r="U563"/>
  <c r="J564"/>
  <c r="R564"/>
  <c r="J565"/>
  <c r="R565"/>
  <c r="B566"/>
  <c r="C566"/>
  <c r="G566"/>
  <c r="J566"/>
  <c r="L566"/>
  <c r="R566"/>
  <c r="U566"/>
  <c r="B567"/>
  <c r="C567" s="1"/>
  <c r="G567"/>
  <c r="D567" s="1"/>
  <c r="J567"/>
  <c r="R567"/>
  <c r="W567"/>
  <c r="AC567" s="1"/>
  <c r="B568"/>
  <c r="J568"/>
  <c r="W620" s="1"/>
  <c r="AC620" s="1"/>
  <c r="R568"/>
  <c r="B569"/>
  <c r="I569"/>
  <c r="J569"/>
  <c r="R569"/>
  <c r="W569"/>
  <c r="AC569"/>
  <c r="B570"/>
  <c r="C570"/>
  <c r="G570"/>
  <c r="J570"/>
  <c r="L570"/>
  <c r="R570"/>
  <c r="B571"/>
  <c r="C571" s="1"/>
  <c r="G571"/>
  <c r="D571" s="1"/>
  <c r="J571"/>
  <c r="R571"/>
  <c r="W571"/>
  <c r="AC571" s="1"/>
  <c r="B572"/>
  <c r="J572"/>
  <c r="W624" s="1"/>
  <c r="AC624" s="1"/>
  <c r="R572"/>
  <c r="B573"/>
  <c r="I573"/>
  <c r="J573"/>
  <c r="R573"/>
  <c r="W573"/>
  <c r="AC573"/>
  <c r="J576"/>
  <c r="R576"/>
  <c r="J577"/>
  <c r="R577"/>
  <c r="J578"/>
  <c r="R578"/>
  <c r="J579"/>
  <c r="R579"/>
  <c r="J580"/>
  <c r="R580"/>
  <c r="J581"/>
  <c r="R581"/>
  <c r="J582"/>
  <c r="R582"/>
  <c r="J583"/>
  <c r="R583"/>
  <c r="J584"/>
  <c r="R584"/>
  <c r="J585"/>
  <c r="R585"/>
  <c r="J586"/>
  <c r="R586"/>
  <c r="J587"/>
  <c r="R587"/>
  <c r="J588"/>
  <c r="R588"/>
  <c r="J589"/>
  <c r="R589"/>
  <c r="J590"/>
  <c r="R590"/>
  <c r="J591"/>
  <c r="R591"/>
  <c r="B592"/>
  <c r="C592"/>
  <c r="G592"/>
  <c r="J592"/>
  <c r="E592" s="1"/>
  <c r="L592"/>
  <c r="R592"/>
  <c r="B593"/>
  <c r="C593"/>
  <c r="G593"/>
  <c r="J593"/>
  <c r="E593" s="1"/>
  <c r="L593"/>
  <c r="R593"/>
  <c r="B594"/>
  <c r="C594"/>
  <c r="G594"/>
  <c r="J594"/>
  <c r="E594" s="1"/>
  <c r="L594"/>
  <c r="R594"/>
  <c r="B595"/>
  <c r="C595"/>
  <c r="G595"/>
  <c r="J595"/>
  <c r="E595" s="1"/>
  <c r="L595"/>
  <c r="R595"/>
  <c r="B596"/>
  <c r="C596"/>
  <c r="G596"/>
  <c r="J596"/>
  <c r="E596" s="1"/>
  <c r="L596"/>
  <c r="R596"/>
  <c r="B597"/>
  <c r="C597"/>
  <c r="G597"/>
  <c r="J597"/>
  <c r="E597" s="1"/>
  <c r="L597"/>
  <c r="R597"/>
  <c r="B598"/>
  <c r="C598"/>
  <c r="G598"/>
  <c r="J598"/>
  <c r="E598" s="1"/>
  <c r="L598"/>
  <c r="R598"/>
  <c r="B599"/>
  <c r="C599"/>
  <c r="G599"/>
  <c r="J599"/>
  <c r="E599" s="1"/>
  <c r="L599"/>
  <c r="R599"/>
  <c r="J602"/>
  <c r="I602" s="1"/>
  <c r="R602"/>
  <c r="J603"/>
  <c r="I603" s="1"/>
  <c r="R603"/>
  <c r="J604"/>
  <c r="I604" s="1"/>
  <c r="R604"/>
  <c r="J605"/>
  <c r="I605" s="1"/>
  <c r="R605"/>
  <c r="J606"/>
  <c r="I606" s="1"/>
  <c r="R606"/>
  <c r="J607"/>
  <c r="I607" s="1"/>
  <c r="R607"/>
  <c r="J608"/>
  <c r="R608"/>
  <c r="J609"/>
  <c r="I609" s="1"/>
  <c r="R609"/>
  <c r="J610"/>
  <c r="R610"/>
  <c r="T610"/>
  <c r="U610" s="1"/>
  <c r="J611"/>
  <c r="I611" s="1"/>
  <c r="R611"/>
  <c r="J612"/>
  <c r="R612"/>
  <c r="J613"/>
  <c r="I613" s="1"/>
  <c r="R613"/>
  <c r="J614"/>
  <c r="R614"/>
  <c r="J615"/>
  <c r="I615" s="1"/>
  <c r="R615"/>
  <c r="J616"/>
  <c r="R616"/>
  <c r="J617"/>
  <c r="I617" s="1"/>
  <c r="R617"/>
  <c r="B618"/>
  <c r="C618" s="1"/>
  <c r="G618"/>
  <c r="J618"/>
  <c r="L618"/>
  <c r="R618"/>
  <c r="B619"/>
  <c r="J619"/>
  <c r="R619"/>
  <c r="B620"/>
  <c r="J620"/>
  <c r="R620"/>
  <c r="B621"/>
  <c r="J621"/>
  <c r="I621" s="1"/>
  <c r="R621"/>
  <c r="W621"/>
  <c r="AC621" s="1"/>
  <c r="B622"/>
  <c r="C622" s="1"/>
  <c r="J622"/>
  <c r="R622"/>
  <c r="B623"/>
  <c r="J623"/>
  <c r="R623"/>
  <c r="B624"/>
  <c r="J624"/>
  <c r="R624"/>
  <c r="B625"/>
  <c r="J625"/>
  <c r="I625" s="1"/>
  <c r="R625"/>
  <c r="W625"/>
  <c r="AC625" s="1"/>
  <c r="J628"/>
  <c r="R628"/>
  <c r="J629"/>
  <c r="R629"/>
  <c r="J630"/>
  <c r="R630"/>
  <c r="J631"/>
  <c r="R631"/>
  <c r="J632"/>
  <c r="R632"/>
  <c r="J633"/>
  <c r="R633"/>
  <c r="J634"/>
  <c r="R634"/>
  <c r="J635"/>
  <c r="R635"/>
  <c r="J636"/>
  <c r="R636"/>
  <c r="J637"/>
  <c r="R637"/>
  <c r="J638"/>
  <c r="R638"/>
  <c r="J639"/>
  <c r="R639"/>
  <c r="J640"/>
  <c r="R640"/>
  <c r="J641"/>
  <c r="R641"/>
  <c r="J642"/>
  <c r="R642"/>
  <c r="J643"/>
  <c r="R643"/>
  <c r="B644"/>
  <c r="C644" s="1"/>
  <c r="J644"/>
  <c r="E644" s="1"/>
  <c r="R644"/>
  <c r="B645"/>
  <c r="C645" s="1"/>
  <c r="J645"/>
  <c r="R645"/>
  <c r="B646"/>
  <c r="C646" s="1"/>
  <c r="J646"/>
  <c r="E646" s="1"/>
  <c r="R646"/>
  <c r="B647"/>
  <c r="C647" s="1"/>
  <c r="J647"/>
  <c r="R647"/>
  <c r="B648"/>
  <c r="C648" s="1"/>
  <c r="J648"/>
  <c r="E648" s="1"/>
  <c r="R648"/>
  <c r="B649"/>
  <c r="C649" s="1"/>
  <c r="J649"/>
  <c r="R649"/>
  <c r="B650"/>
  <c r="C650" s="1"/>
  <c r="J650"/>
  <c r="E650" s="1"/>
  <c r="R650"/>
  <c r="B651"/>
  <c r="C651" s="1"/>
  <c r="J651"/>
  <c r="R651"/>
  <c r="W653"/>
  <c r="J654"/>
  <c r="R654"/>
  <c r="J655"/>
  <c r="R655"/>
  <c r="J656"/>
  <c r="R656"/>
  <c r="J657"/>
  <c r="R657"/>
  <c r="J658"/>
  <c r="R658"/>
  <c r="J659"/>
  <c r="R659"/>
  <c r="J660"/>
  <c r="R660"/>
  <c r="J661"/>
  <c r="R661"/>
  <c r="J662"/>
  <c r="R662"/>
  <c r="T662"/>
  <c r="U662" s="1"/>
  <c r="J663"/>
  <c r="R663"/>
  <c r="J664"/>
  <c r="R664"/>
  <c r="J665"/>
  <c r="R665"/>
  <c r="J666"/>
  <c r="R666"/>
  <c r="J667"/>
  <c r="R667"/>
  <c r="J668"/>
  <c r="R668"/>
  <c r="J669"/>
  <c r="R669"/>
  <c r="B670"/>
  <c r="J670"/>
  <c r="W670" s="1"/>
  <c r="AC670" s="1"/>
  <c r="R670"/>
  <c r="T670"/>
  <c r="B671"/>
  <c r="J671"/>
  <c r="R671"/>
  <c r="B672"/>
  <c r="J672"/>
  <c r="I672" s="1"/>
  <c r="R672"/>
  <c r="W672"/>
  <c r="AC672" s="1"/>
  <c r="B673"/>
  <c r="C673" s="1"/>
  <c r="G673"/>
  <c r="J673"/>
  <c r="L673"/>
  <c r="R673"/>
  <c r="B674"/>
  <c r="J674"/>
  <c r="R674"/>
  <c r="W674"/>
  <c r="AC674" s="1"/>
  <c r="B675"/>
  <c r="J675"/>
  <c r="R675"/>
  <c r="B676"/>
  <c r="J676"/>
  <c r="I676" s="1"/>
  <c r="R676"/>
  <c r="W676"/>
  <c r="AC676" s="1"/>
  <c r="B677"/>
  <c r="C677" s="1"/>
  <c r="G677"/>
  <c r="J677"/>
  <c r="L677"/>
  <c r="R677"/>
  <c r="J680"/>
  <c r="R680"/>
  <c r="J681"/>
  <c r="R681"/>
  <c r="J682"/>
  <c r="R682"/>
  <c r="J683"/>
  <c r="R683"/>
  <c r="J684"/>
  <c r="R684"/>
  <c r="J685"/>
  <c r="R685"/>
  <c r="J686"/>
  <c r="R686"/>
  <c r="J687"/>
  <c r="R687"/>
  <c r="J688"/>
  <c r="R688"/>
  <c r="J689"/>
  <c r="R689"/>
  <c r="J690"/>
  <c r="R690"/>
  <c r="J691"/>
  <c r="R691"/>
  <c r="J692"/>
  <c r="R692"/>
  <c r="J693"/>
  <c r="R693"/>
  <c r="J694"/>
  <c r="R694"/>
  <c r="J695"/>
  <c r="R695"/>
  <c r="B696"/>
  <c r="C696" s="1"/>
  <c r="J696"/>
  <c r="R696"/>
  <c r="B697"/>
  <c r="C697" s="1"/>
  <c r="J697"/>
  <c r="E697" s="1"/>
  <c r="R697"/>
  <c r="B698"/>
  <c r="C698" s="1"/>
  <c r="J698"/>
  <c r="R698"/>
  <c r="B699"/>
  <c r="C699" s="1"/>
  <c r="J699"/>
  <c r="E699" s="1"/>
  <c r="R699"/>
  <c r="B700"/>
  <c r="C700" s="1"/>
  <c r="J700"/>
  <c r="R700"/>
  <c r="B701"/>
  <c r="C701" s="1"/>
  <c r="J701"/>
  <c r="E701" s="1"/>
  <c r="R701"/>
  <c r="B702"/>
  <c r="C702" s="1"/>
  <c r="J702"/>
  <c r="R702"/>
  <c r="B703"/>
  <c r="C703" s="1"/>
  <c r="J703"/>
  <c r="E703" s="1"/>
  <c r="R703"/>
  <c r="J706"/>
  <c r="R706"/>
  <c r="J707"/>
  <c r="R707"/>
  <c r="J708"/>
  <c r="R708"/>
  <c r="J709"/>
  <c r="R709"/>
  <c r="J710"/>
  <c r="R710"/>
  <c r="J711"/>
  <c r="R711"/>
  <c r="J712"/>
  <c r="I712" s="1"/>
  <c r="R712"/>
  <c r="J713"/>
  <c r="R713"/>
  <c r="I714"/>
  <c r="J714"/>
  <c r="R714"/>
  <c r="T714"/>
  <c r="U714"/>
  <c r="J715"/>
  <c r="R715"/>
  <c r="J716"/>
  <c r="I716" s="1"/>
  <c r="R716"/>
  <c r="J717"/>
  <c r="R717"/>
  <c r="J718"/>
  <c r="I718" s="1"/>
  <c r="R718"/>
  <c r="J719"/>
  <c r="R719"/>
  <c r="J720"/>
  <c r="I720" s="1"/>
  <c r="R720"/>
  <c r="J721"/>
  <c r="R721"/>
  <c r="B722"/>
  <c r="J722"/>
  <c r="I722" s="1"/>
  <c r="R722"/>
  <c r="B723"/>
  <c r="C723" s="1"/>
  <c r="G723"/>
  <c r="J723"/>
  <c r="L723"/>
  <c r="R723"/>
  <c r="W723"/>
  <c r="AC723" s="1"/>
  <c r="B724"/>
  <c r="C724" s="1"/>
  <c r="J724"/>
  <c r="R724"/>
  <c r="W724"/>
  <c r="AC724" s="1"/>
  <c r="B725"/>
  <c r="J725"/>
  <c r="R725"/>
  <c r="B726"/>
  <c r="J726"/>
  <c r="I726" s="1"/>
  <c r="R726"/>
  <c r="B727"/>
  <c r="C727" s="1"/>
  <c r="G727"/>
  <c r="J727"/>
  <c r="L727"/>
  <c r="R727"/>
  <c r="W727"/>
  <c r="AC727" s="1"/>
  <c r="B728"/>
  <c r="C728" s="1"/>
  <c r="J728"/>
  <c r="R728"/>
  <c r="W728"/>
  <c r="AC728" s="1"/>
  <c r="B729"/>
  <c r="J729"/>
  <c r="R729"/>
  <c r="J732"/>
  <c r="R732"/>
  <c r="J733"/>
  <c r="R733"/>
  <c r="J734"/>
  <c r="R734"/>
  <c r="J735"/>
  <c r="R735"/>
  <c r="J736"/>
  <c r="R736"/>
  <c r="J737"/>
  <c r="R737"/>
  <c r="J738"/>
  <c r="R738"/>
  <c r="J739"/>
  <c r="R739"/>
  <c r="J740"/>
  <c r="R740"/>
  <c r="J741"/>
  <c r="R741"/>
  <c r="J742"/>
  <c r="R742"/>
  <c r="J743"/>
  <c r="R743"/>
  <c r="J744"/>
  <c r="R744"/>
  <c r="J745"/>
  <c r="R745"/>
  <c r="J746"/>
  <c r="R746"/>
  <c r="J747"/>
  <c r="R747"/>
  <c r="B748"/>
  <c r="J748"/>
  <c r="R748"/>
  <c r="B749"/>
  <c r="C749" s="1"/>
  <c r="G749"/>
  <c r="J749"/>
  <c r="L749"/>
  <c r="R749"/>
  <c r="B750"/>
  <c r="J750"/>
  <c r="R750"/>
  <c r="B751"/>
  <c r="C751" s="1"/>
  <c r="G751"/>
  <c r="J751"/>
  <c r="L751"/>
  <c r="R751"/>
  <c r="B752"/>
  <c r="J752"/>
  <c r="R752"/>
  <c r="B753"/>
  <c r="C753" s="1"/>
  <c r="G753"/>
  <c r="J753"/>
  <c r="L753"/>
  <c r="R753"/>
  <c r="B754"/>
  <c r="J754"/>
  <c r="R754"/>
  <c r="B755"/>
  <c r="C755" s="1"/>
  <c r="G755"/>
  <c r="J755"/>
  <c r="L755"/>
  <c r="R755"/>
  <c r="W757"/>
  <c r="J758"/>
  <c r="R758"/>
  <c r="J759"/>
  <c r="R759"/>
  <c r="J760"/>
  <c r="R760"/>
  <c r="J761"/>
  <c r="R761"/>
  <c r="J762"/>
  <c r="R762"/>
  <c r="J763"/>
  <c r="R763"/>
  <c r="J764"/>
  <c r="R764"/>
  <c r="J765"/>
  <c r="R765"/>
  <c r="J766"/>
  <c r="R766"/>
  <c r="T766"/>
  <c r="U766" s="1"/>
  <c r="J767"/>
  <c r="R767"/>
  <c r="J768"/>
  <c r="R768"/>
  <c r="J769"/>
  <c r="R769"/>
  <c r="J770"/>
  <c r="R770"/>
  <c r="J771"/>
  <c r="R771"/>
  <c r="U771"/>
  <c r="J772"/>
  <c r="R772"/>
  <c r="J773"/>
  <c r="R773"/>
  <c r="B774"/>
  <c r="C774" s="1"/>
  <c r="G774"/>
  <c r="J774"/>
  <c r="L774"/>
  <c r="R774"/>
  <c r="T774"/>
  <c r="U774"/>
  <c r="B775"/>
  <c r="G775" s="1"/>
  <c r="J775"/>
  <c r="R775"/>
  <c r="W775"/>
  <c r="AC775" s="1"/>
  <c r="B776"/>
  <c r="C776"/>
  <c r="G776"/>
  <c r="J776"/>
  <c r="E776" s="1"/>
  <c r="L776"/>
  <c r="R776"/>
  <c r="B777"/>
  <c r="G777" s="1"/>
  <c r="I777"/>
  <c r="J777"/>
  <c r="R777"/>
  <c r="W777"/>
  <c r="AC777"/>
  <c r="B778"/>
  <c r="C778"/>
  <c r="G778"/>
  <c r="J778"/>
  <c r="L778"/>
  <c r="R778"/>
  <c r="B779"/>
  <c r="G779"/>
  <c r="J779"/>
  <c r="R779"/>
  <c r="W779"/>
  <c r="AC779" s="1"/>
  <c r="B780"/>
  <c r="C780" s="1"/>
  <c r="G780"/>
  <c r="J780"/>
  <c r="L780"/>
  <c r="R780"/>
  <c r="B781"/>
  <c r="J781"/>
  <c r="R781"/>
  <c r="J784"/>
  <c r="R784"/>
  <c r="J785"/>
  <c r="R785"/>
  <c r="J786"/>
  <c r="R786"/>
  <c r="J787"/>
  <c r="R787"/>
  <c r="J788"/>
  <c r="R788"/>
  <c r="J789"/>
  <c r="R789"/>
  <c r="J790"/>
  <c r="R790"/>
  <c r="J791"/>
  <c r="R791"/>
  <c r="J792"/>
  <c r="R792"/>
  <c r="J793"/>
  <c r="R793"/>
  <c r="J794"/>
  <c r="R794"/>
  <c r="J795"/>
  <c r="R795"/>
  <c r="J796"/>
  <c r="R796"/>
  <c r="J797"/>
  <c r="R797"/>
  <c r="J798"/>
  <c r="R798"/>
  <c r="J799"/>
  <c r="R799"/>
  <c r="B800"/>
  <c r="C800" s="1"/>
  <c r="E800"/>
  <c r="J800"/>
  <c r="R800"/>
  <c r="B801"/>
  <c r="C801" s="1"/>
  <c r="E801"/>
  <c r="J801"/>
  <c r="R801"/>
  <c r="B802"/>
  <c r="C802" s="1"/>
  <c r="E802"/>
  <c r="J802"/>
  <c r="R802"/>
  <c r="B803"/>
  <c r="C803" s="1"/>
  <c r="E803"/>
  <c r="J803"/>
  <c r="R803"/>
  <c r="B804"/>
  <c r="C804" s="1"/>
  <c r="E804"/>
  <c r="J804"/>
  <c r="R804"/>
  <c r="B805"/>
  <c r="C805" s="1"/>
  <c r="E805"/>
  <c r="J805"/>
  <c r="R805"/>
  <c r="B806"/>
  <c r="C806" s="1"/>
  <c r="E806"/>
  <c r="J806"/>
  <c r="R806"/>
  <c r="B807"/>
  <c r="C807" s="1"/>
  <c r="E807"/>
  <c r="J807"/>
  <c r="R807"/>
  <c r="J810"/>
  <c r="R810"/>
  <c r="J811"/>
  <c r="R811"/>
  <c r="J812"/>
  <c r="R812"/>
  <c r="J813"/>
  <c r="R813"/>
  <c r="J814"/>
  <c r="R814"/>
  <c r="J815"/>
  <c r="R815"/>
  <c r="J816"/>
  <c r="I816" s="1"/>
  <c r="R816"/>
  <c r="J817"/>
  <c r="R817"/>
  <c r="J818"/>
  <c r="I818" s="1"/>
  <c r="R818"/>
  <c r="T818"/>
  <c r="U818"/>
  <c r="J819"/>
  <c r="R819"/>
  <c r="J820"/>
  <c r="I820" s="1"/>
  <c r="R820"/>
  <c r="J821"/>
  <c r="R821"/>
  <c r="J822"/>
  <c r="I822" s="1"/>
  <c r="R822"/>
  <c r="J823"/>
  <c r="R823"/>
  <c r="J824"/>
  <c r="I824" s="1"/>
  <c r="R824"/>
  <c r="J825"/>
  <c r="R825"/>
  <c r="B826"/>
  <c r="I826"/>
  <c r="J826"/>
  <c r="R826"/>
  <c r="B827"/>
  <c r="C827"/>
  <c r="G827"/>
  <c r="J827"/>
  <c r="E827" s="1"/>
  <c r="L827"/>
  <c r="R827"/>
  <c r="B828"/>
  <c r="C828" s="1"/>
  <c r="G828"/>
  <c r="J828"/>
  <c r="R828"/>
  <c r="W828"/>
  <c r="AC828" s="1"/>
  <c r="B829"/>
  <c r="J829"/>
  <c r="R829"/>
  <c r="W829"/>
  <c r="AC829" s="1"/>
  <c r="B830"/>
  <c r="J830"/>
  <c r="I830" s="1"/>
  <c r="R830"/>
  <c r="B831"/>
  <c r="C831" s="1"/>
  <c r="G831"/>
  <c r="J831"/>
  <c r="L831"/>
  <c r="R831"/>
  <c r="B832"/>
  <c r="C832" s="1"/>
  <c r="J832"/>
  <c r="R832"/>
  <c r="W832"/>
  <c r="AC832" s="1"/>
  <c r="B833"/>
  <c r="C833" s="1"/>
  <c r="G833"/>
  <c r="J833"/>
  <c r="L833"/>
  <c r="R833"/>
  <c r="J836"/>
  <c r="R836"/>
  <c r="J837"/>
  <c r="R837"/>
  <c r="J838"/>
  <c r="R838"/>
  <c r="J839"/>
  <c r="R839"/>
  <c r="J840"/>
  <c r="R840"/>
  <c r="J841"/>
  <c r="R841"/>
  <c r="J842"/>
  <c r="R842"/>
  <c r="J843"/>
  <c r="R843"/>
  <c r="J844"/>
  <c r="R844"/>
  <c r="J845"/>
  <c r="R845"/>
  <c r="J846"/>
  <c r="R846"/>
  <c r="J847"/>
  <c r="R847"/>
  <c r="J848"/>
  <c r="R848"/>
  <c r="J849"/>
  <c r="R849"/>
  <c r="J850"/>
  <c r="R850"/>
  <c r="J851"/>
  <c r="R851"/>
  <c r="B852"/>
  <c r="C852" s="1"/>
  <c r="J852"/>
  <c r="R852"/>
  <c r="B853"/>
  <c r="J853"/>
  <c r="R853"/>
  <c r="B854"/>
  <c r="C854" s="1"/>
  <c r="J854"/>
  <c r="R854"/>
  <c r="B855"/>
  <c r="J855"/>
  <c r="R855"/>
  <c r="B856"/>
  <c r="C856" s="1"/>
  <c r="J856"/>
  <c r="R856"/>
  <c r="B857"/>
  <c r="J857"/>
  <c r="R857"/>
  <c r="B858"/>
  <c r="C858" s="1"/>
  <c r="J858"/>
  <c r="R858"/>
  <c r="B859"/>
  <c r="J859"/>
  <c r="R859"/>
  <c r="B2" i="5"/>
  <c r="C2"/>
  <c r="D2"/>
  <c r="E2"/>
  <c r="F2"/>
  <c r="G2"/>
  <c r="H2" s="1"/>
  <c r="I2"/>
  <c r="M2"/>
  <c r="N2" s="1"/>
  <c r="P2" s="1"/>
  <c r="O2" s="1"/>
  <c r="B3"/>
  <c r="C3"/>
  <c r="D3"/>
  <c r="E3"/>
  <c r="F3"/>
  <c r="G3"/>
  <c r="H3" s="1"/>
  <c r="K3"/>
  <c r="B4"/>
  <c r="C4"/>
  <c r="D4"/>
  <c r="E4"/>
  <c r="F4"/>
  <c r="G4"/>
  <c r="I4"/>
  <c r="M4"/>
  <c r="N4" s="1"/>
  <c r="P4" s="1"/>
  <c r="O4" s="1"/>
  <c r="B5"/>
  <c r="C5"/>
  <c r="D5"/>
  <c r="E5"/>
  <c r="F5"/>
  <c r="G5"/>
  <c r="K5"/>
  <c r="B6"/>
  <c r="C6"/>
  <c r="D6"/>
  <c r="E6"/>
  <c r="F6"/>
  <c r="G6"/>
  <c r="H6" s="1"/>
  <c r="B7"/>
  <c r="C7"/>
  <c r="D7"/>
  <c r="E7"/>
  <c r="F7"/>
  <c r="G7"/>
  <c r="K7"/>
  <c r="B8"/>
  <c r="C8"/>
  <c r="D8"/>
  <c r="E8"/>
  <c r="F8"/>
  <c r="G8"/>
  <c r="H8" s="1"/>
  <c r="B9"/>
  <c r="C9"/>
  <c r="D9"/>
  <c r="E9"/>
  <c r="F9"/>
  <c r="G9"/>
  <c r="K9"/>
  <c r="B10"/>
  <c r="C10"/>
  <c r="D10"/>
  <c r="E10"/>
  <c r="F10"/>
  <c r="G10"/>
  <c r="H10" s="1"/>
  <c r="B11"/>
  <c r="C11"/>
  <c r="D11"/>
  <c r="E11"/>
  <c r="F11"/>
  <c r="G11"/>
  <c r="K11"/>
  <c r="B12"/>
  <c r="C12"/>
  <c r="D12"/>
  <c r="E12"/>
  <c r="F12"/>
  <c r="G12"/>
  <c r="H12" s="1"/>
  <c r="B13"/>
  <c r="C13"/>
  <c r="D13"/>
  <c r="E13"/>
  <c r="F13"/>
  <c r="G13"/>
  <c r="K13"/>
  <c r="B14"/>
  <c r="C14"/>
  <c r="D14"/>
  <c r="E14"/>
  <c r="F14"/>
  <c r="G14"/>
  <c r="H14" s="1"/>
  <c r="B15"/>
  <c r="C15"/>
  <c r="D15"/>
  <c r="E15"/>
  <c r="F15"/>
  <c r="G15"/>
  <c r="K15"/>
  <c r="B16"/>
  <c r="C16"/>
  <c r="D16"/>
  <c r="E16"/>
  <c r="F16"/>
  <c r="G16"/>
  <c r="H16" s="1"/>
  <c r="B17"/>
  <c r="C17"/>
  <c r="D17"/>
  <c r="E17"/>
  <c r="F17"/>
  <c r="G17"/>
  <c r="B19"/>
  <c r="A19" s="1"/>
  <c r="B20"/>
  <c r="C20" s="1"/>
  <c r="J20"/>
  <c r="R20"/>
  <c r="X20"/>
  <c r="B21"/>
  <c r="C21" s="1"/>
  <c r="J21"/>
  <c r="R21"/>
  <c r="X21" s="1"/>
  <c r="B22"/>
  <c r="J22"/>
  <c r="R22"/>
  <c r="X22"/>
  <c r="B23"/>
  <c r="G23" s="1"/>
  <c r="J23"/>
  <c r="R23"/>
  <c r="X23" s="1"/>
  <c r="Z23"/>
  <c r="B24"/>
  <c r="G24"/>
  <c r="J24"/>
  <c r="R24"/>
  <c r="X24" s="1"/>
  <c r="B25"/>
  <c r="J25"/>
  <c r="R25"/>
  <c r="X25" s="1"/>
  <c r="B26"/>
  <c r="G26" s="1"/>
  <c r="J26"/>
  <c r="R26"/>
  <c r="X26" s="1"/>
  <c r="B27"/>
  <c r="Z27" s="1"/>
  <c r="J27"/>
  <c r="R27"/>
  <c r="X27" s="1"/>
  <c r="B28"/>
  <c r="G28" s="1"/>
  <c r="J28"/>
  <c r="Z28" s="1"/>
  <c r="R28"/>
  <c r="X28"/>
  <c r="B29"/>
  <c r="J29"/>
  <c r="R29"/>
  <c r="X29" s="1"/>
  <c r="Z29"/>
  <c r="B30"/>
  <c r="G30"/>
  <c r="J30"/>
  <c r="Z30" s="1"/>
  <c r="R30"/>
  <c r="X30"/>
  <c r="B31"/>
  <c r="G31" s="1"/>
  <c r="J31"/>
  <c r="R31"/>
  <c r="X31" s="1"/>
  <c r="Z31"/>
  <c r="B32"/>
  <c r="G32"/>
  <c r="J32"/>
  <c r="R32"/>
  <c r="X32" s="1"/>
  <c r="B33"/>
  <c r="J33"/>
  <c r="R33"/>
  <c r="X33" s="1"/>
  <c r="B34"/>
  <c r="G34" s="1"/>
  <c r="J34"/>
  <c r="R34"/>
  <c r="X34" s="1"/>
  <c r="B35"/>
  <c r="Z35" s="1"/>
  <c r="J35"/>
  <c r="R35"/>
  <c r="X35" s="1"/>
  <c r="B37"/>
  <c r="B38"/>
  <c r="J38"/>
  <c r="Z38" s="1"/>
  <c r="R38"/>
  <c r="X38" s="1"/>
  <c r="B39"/>
  <c r="C39" s="1"/>
  <c r="G39"/>
  <c r="J39"/>
  <c r="L39"/>
  <c r="M39" s="1"/>
  <c r="N39" s="1"/>
  <c r="P39" s="1"/>
  <c r="O39" s="1"/>
  <c r="K39" s="1"/>
  <c r="H39" s="1"/>
  <c r="R39"/>
  <c r="X39" s="1"/>
  <c r="B40"/>
  <c r="C40" s="1"/>
  <c r="J40"/>
  <c r="Z40" s="1"/>
  <c r="R40"/>
  <c r="X40" s="1"/>
  <c r="B41"/>
  <c r="C41" s="1"/>
  <c r="G41"/>
  <c r="J41"/>
  <c r="L41"/>
  <c r="M41" s="1"/>
  <c r="N41" s="1"/>
  <c r="P41" s="1"/>
  <c r="O41" s="1"/>
  <c r="K41" s="1"/>
  <c r="H41" s="1"/>
  <c r="R41"/>
  <c r="X41" s="1"/>
  <c r="B42"/>
  <c r="C42" s="1"/>
  <c r="J42"/>
  <c r="Z42" s="1"/>
  <c r="R42"/>
  <c r="X42" s="1"/>
  <c r="B43"/>
  <c r="C43" s="1"/>
  <c r="G43"/>
  <c r="J43"/>
  <c r="L43"/>
  <c r="M43" s="1"/>
  <c r="N43" s="1"/>
  <c r="P43" s="1"/>
  <c r="O43" s="1"/>
  <c r="K43" s="1"/>
  <c r="H43" s="1"/>
  <c r="R43"/>
  <c r="X43" s="1"/>
  <c r="B44"/>
  <c r="C44" s="1"/>
  <c r="J44"/>
  <c r="Z44" s="1"/>
  <c r="R44"/>
  <c r="X44" s="1"/>
  <c r="B45"/>
  <c r="C45" s="1"/>
  <c r="G45"/>
  <c r="J45"/>
  <c r="L45"/>
  <c r="M45" s="1"/>
  <c r="N45" s="1"/>
  <c r="P45" s="1"/>
  <c r="O45" s="1"/>
  <c r="K45" s="1"/>
  <c r="H45" s="1"/>
  <c r="R45"/>
  <c r="X45" s="1"/>
  <c r="B46"/>
  <c r="C46" s="1"/>
  <c r="J46"/>
  <c r="Z46" s="1"/>
  <c r="R46"/>
  <c r="X46" s="1"/>
  <c r="B47"/>
  <c r="G47"/>
  <c r="J47"/>
  <c r="L47"/>
  <c r="M47" s="1"/>
  <c r="N47" s="1"/>
  <c r="P47" s="1"/>
  <c r="O47" s="1"/>
  <c r="K47" s="1"/>
  <c r="H47" s="1"/>
  <c r="R47"/>
  <c r="X47" s="1"/>
  <c r="B48"/>
  <c r="C48" s="1"/>
  <c r="J48"/>
  <c r="Z48" s="1"/>
  <c r="R48"/>
  <c r="X48" s="1"/>
  <c r="B49"/>
  <c r="C49" s="1"/>
  <c r="G49"/>
  <c r="J49"/>
  <c r="L49"/>
  <c r="M49" s="1"/>
  <c r="N49" s="1"/>
  <c r="P49" s="1"/>
  <c r="O49" s="1"/>
  <c r="K49" s="1"/>
  <c r="H49" s="1"/>
  <c r="R49"/>
  <c r="X49" s="1"/>
  <c r="B50"/>
  <c r="J50"/>
  <c r="Z50" s="1"/>
  <c r="R50"/>
  <c r="X50" s="1"/>
  <c r="B51"/>
  <c r="C51" s="1"/>
  <c r="G51"/>
  <c r="J51"/>
  <c r="L51"/>
  <c r="M51" s="1"/>
  <c r="N51" s="1"/>
  <c r="P51" s="1"/>
  <c r="O51" s="1"/>
  <c r="K51" s="1"/>
  <c r="H51" s="1"/>
  <c r="R51"/>
  <c r="X51" s="1"/>
  <c r="B52"/>
  <c r="J52"/>
  <c r="Z52" s="1"/>
  <c r="R52"/>
  <c r="X52" s="1"/>
  <c r="B53"/>
  <c r="C53" s="1"/>
  <c r="G53"/>
  <c r="J53"/>
  <c r="L53"/>
  <c r="M53" s="1"/>
  <c r="N53" s="1"/>
  <c r="P53" s="1"/>
  <c r="O53" s="1"/>
  <c r="K53" s="1"/>
  <c r="H53" s="1"/>
  <c r="R53"/>
  <c r="X53" s="1"/>
  <c r="B55"/>
  <c r="A55" s="1"/>
  <c r="B56"/>
  <c r="C56" s="1"/>
  <c r="G56"/>
  <c r="J56"/>
  <c r="R56"/>
  <c r="X56"/>
  <c r="B57"/>
  <c r="C57" s="1"/>
  <c r="J57"/>
  <c r="R57"/>
  <c r="X57" s="1"/>
  <c r="B58"/>
  <c r="C58" s="1"/>
  <c r="G58"/>
  <c r="J58"/>
  <c r="R58"/>
  <c r="X58" s="1"/>
  <c r="B59"/>
  <c r="C59" s="1"/>
  <c r="J59"/>
  <c r="R59"/>
  <c r="X59" s="1"/>
  <c r="B60"/>
  <c r="J60"/>
  <c r="R60"/>
  <c r="X60" s="1"/>
  <c r="B61"/>
  <c r="C61" s="1"/>
  <c r="J61"/>
  <c r="R61"/>
  <c r="X61" s="1"/>
  <c r="B62"/>
  <c r="J62"/>
  <c r="R62"/>
  <c r="X62" s="1"/>
  <c r="B63"/>
  <c r="C63" s="1"/>
  <c r="J63"/>
  <c r="R63"/>
  <c r="X63" s="1"/>
  <c r="B64"/>
  <c r="J64"/>
  <c r="R64"/>
  <c r="X64" s="1"/>
  <c r="B65"/>
  <c r="C65" s="1"/>
  <c r="J65"/>
  <c r="R65"/>
  <c r="X65" s="1"/>
  <c r="B66"/>
  <c r="J66"/>
  <c r="R66"/>
  <c r="X66" s="1"/>
  <c r="B67"/>
  <c r="C67" s="1"/>
  <c r="J67"/>
  <c r="R67"/>
  <c r="X67" s="1"/>
  <c r="B68"/>
  <c r="J68"/>
  <c r="R68"/>
  <c r="X68" s="1"/>
  <c r="B69"/>
  <c r="C69" s="1"/>
  <c r="J69"/>
  <c r="R69"/>
  <c r="X69" s="1"/>
  <c r="B70"/>
  <c r="J70"/>
  <c r="R70"/>
  <c r="X70" s="1"/>
  <c r="B71"/>
  <c r="C71" s="1"/>
  <c r="J71"/>
  <c r="R71"/>
  <c r="X71" s="1"/>
  <c r="B73"/>
  <c r="A73" s="1"/>
  <c r="B74"/>
  <c r="J74"/>
  <c r="R74"/>
  <c r="X74" s="1"/>
  <c r="B75"/>
  <c r="C75" s="1"/>
  <c r="G75"/>
  <c r="J75"/>
  <c r="Z75" s="1"/>
  <c r="L75"/>
  <c r="R75"/>
  <c r="X75" s="1"/>
  <c r="B76"/>
  <c r="J76"/>
  <c r="R76"/>
  <c r="X76" s="1"/>
  <c r="B77"/>
  <c r="G77" s="1"/>
  <c r="L77" s="1"/>
  <c r="J77"/>
  <c r="Z77" s="1"/>
  <c r="R77"/>
  <c r="X77" s="1"/>
  <c r="B78"/>
  <c r="J78"/>
  <c r="R78"/>
  <c r="X78" s="1"/>
  <c r="B79"/>
  <c r="G79"/>
  <c r="J79"/>
  <c r="Z79" s="1"/>
  <c r="L79"/>
  <c r="R79"/>
  <c r="X79" s="1"/>
  <c r="B80"/>
  <c r="J80"/>
  <c r="R80"/>
  <c r="X80" s="1"/>
  <c r="B81"/>
  <c r="G81"/>
  <c r="J81"/>
  <c r="Z81" s="1"/>
  <c r="L81"/>
  <c r="R81"/>
  <c r="X81" s="1"/>
  <c r="B82"/>
  <c r="J82"/>
  <c r="R82"/>
  <c r="X82" s="1"/>
  <c r="B83"/>
  <c r="G83"/>
  <c r="J83"/>
  <c r="Z83" s="1"/>
  <c r="L83"/>
  <c r="R83"/>
  <c r="X83" s="1"/>
  <c r="B84"/>
  <c r="J84"/>
  <c r="R84"/>
  <c r="X84" s="1"/>
  <c r="B85"/>
  <c r="G85"/>
  <c r="J85"/>
  <c r="Z85" s="1"/>
  <c r="L85"/>
  <c r="R85"/>
  <c r="X85" s="1"/>
  <c r="B86"/>
  <c r="J86"/>
  <c r="R86"/>
  <c r="X86" s="1"/>
  <c r="B87"/>
  <c r="G87"/>
  <c r="J87"/>
  <c r="Z87" s="1"/>
  <c r="L87"/>
  <c r="R87"/>
  <c r="X87" s="1"/>
  <c r="B88"/>
  <c r="J88"/>
  <c r="R88"/>
  <c r="X88" s="1"/>
  <c r="B89"/>
  <c r="G89"/>
  <c r="J89"/>
  <c r="Z89" s="1"/>
  <c r="L89"/>
  <c r="R89"/>
  <c r="X89" s="1"/>
  <c r="A91"/>
  <c r="B91"/>
  <c r="D91"/>
  <c r="B92"/>
  <c r="C92" s="1"/>
  <c r="J92"/>
  <c r="R92"/>
  <c r="X92"/>
  <c r="B93"/>
  <c r="C93" s="1"/>
  <c r="J93"/>
  <c r="R93"/>
  <c r="X93" s="1"/>
  <c r="Z93"/>
  <c r="B94"/>
  <c r="C94" s="1"/>
  <c r="J94"/>
  <c r="R94"/>
  <c r="X94" s="1"/>
  <c r="Z94"/>
  <c r="B95"/>
  <c r="C95"/>
  <c r="G95"/>
  <c r="J95"/>
  <c r="Z95" s="1"/>
  <c r="R95"/>
  <c r="X95"/>
  <c r="B96"/>
  <c r="C96" s="1"/>
  <c r="J96"/>
  <c r="R96"/>
  <c r="X96" s="1"/>
  <c r="Z96"/>
  <c r="B97"/>
  <c r="C97"/>
  <c r="G97"/>
  <c r="J97"/>
  <c r="Z97" s="1"/>
  <c r="R97"/>
  <c r="X97"/>
  <c r="B98"/>
  <c r="C98" s="1"/>
  <c r="G98"/>
  <c r="J98"/>
  <c r="R98"/>
  <c r="X98" s="1"/>
  <c r="Z98"/>
  <c r="B99"/>
  <c r="C99" s="1"/>
  <c r="G99"/>
  <c r="J99"/>
  <c r="R99"/>
  <c r="X99" s="1"/>
  <c r="B100"/>
  <c r="C100" s="1"/>
  <c r="J100"/>
  <c r="R100"/>
  <c r="X100" s="1"/>
  <c r="B101"/>
  <c r="C101" s="1"/>
  <c r="G101"/>
  <c r="J101"/>
  <c r="R101"/>
  <c r="X101" s="1"/>
  <c r="B102"/>
  <c r="C102" s="1"/>
  <c r="J102"/>
  <c r="R102"/>
  <c r="X102" s="1"/>
  <c r="Z102"/>
  <c r="B103"/>
  <c r="C103" s="1"/>
  <c r="G103"/>
  <c r="J103"/>
  <c r="R103"/>
  <c r="X103"/>
  <c r="B104"/>
  <c r="C104" s="1"/>
  <c r="J104"/>
  <c r="R104"/>
  <c r="X104" s="1"/>
  <c r="B105"/>
  <c r="C105" s="1"/>
  <c r="G105"/>
  <c r="J105"/>
  <c r="R105"/>
  <c r="X105"/>
  <c r="B106"/>
  <c r="C106" s="1"/>
  <c r="J106"/>
  <c r="R106"/>
  <c r="X106" s="1"/>
  <c r="Z106"/>
  <c r="B107"/>
  <c r="C107" s="1"/>
  <c r="G107"/>
  <c r="J107"/>
  <c r="R107"/>
  <c r="X107" s="1"/>
  <c r="B109"/>
  <c r="U95" s="1"/>
  <c r="B110"/>
  <c r="C110"/>
  <c r="G110"/>
  <c r="J110"/>
  <c r="Z110" s="1"/>
  <c r="L110"/>
  <c r="M110"/>
  <c r="N110" s="1"/>
  <c r="P110" s="1"/>
  <c r="O110" s="1"/>
  <c r="K110" s="1"/>
  <c r="H110" s="1"/>
  <c r="R110"/>
  <c r="X110"/>
  <c r="B111"/>
  <c r="C111" s="1"/>
  <c r="G111"/>
  <c r="J111"/>
  <c r="Z111" s="1"/>
  <c r="L111"/>
  <c r="M111" s="1"/>
  <c r="N111" s="1"/>
  <c r="P111" s="1"/>
  <c r="O111" s="1"/>
  <c r="K111" s="1"/>
  <c r="H111" s="1"/>
  <c r="R111"/>
  <c r="X111" s="1"/>
  <c r="B112"/>
  <c r="C112"/>
  <c r="G112"/>
  <c r="J112"/>
  <c r="Z112" s="1"/>
  <c r="L112"/>
  <c r="M112"/>
  <c r="N112" s="1"/>
  <c r="P112" s="1"/>
  <c r="O112" s="1"/>
  <c r="K112" s="1"/>
  <c r="H112" s="1"/>
  <c r="R112"/>
  <c r="X112"/>
  <c r="B113"/>
  <c r="C113" s="1"/>
  <c r="G113"/>
  <c r="J113"/>
  <c r="L113"/>
  <c r="M113" s="1"/>
  <c r="N113" s="1"/>
  <c r="P113" s="1"/>
  <c r="O113" s="1"/>
  <c r="K113" s="1"/>
  <c r="H113" s="1"/>
  <c r="R113"/>
  <c r="X113" s="1"/>
  <c r="Z113"/>
  <c r="B114"/>
  <c r="C114"/>
  <c r="G114"/>
  <c r="J114"/>
  <c r="Z114" s="1"/>
  <c r="L114"/>
  <c r="M114"/>
  <c r="N114" s="1"/>
  <c r="P114" s="1"/>
  <c r="O114" s="1"/>
  <c r="K114" s="1"/>
  <c r="H114" s="1"/>
  <c r="R114"/>
  <c r="X114"/>
  <c r="B115"/>
  <c r="C115" s="1"/>
  <c r="G115"/>
  <c r="J115"/>
  <c r="L115"/>
  <c r="M115" s="1"/>
  <c r="N115" s="1"/>
  <c r="P115" s="1"/>
  <c r="O115" s="1"/>
  <c r="K115" s="1"/>
  <c r="H115" s="1"/>
  <c r="R115"/>
  <c r="X115" s="1"/>
  <c r="Z115"/>
  <c r="B116"/>
  <c r="C116"/>
  <c r="G116"/>
  <c r="J116"/>
  <c r="Z116" s="1"/>
  <c r="L116"/>
  <c r="M116"/>
  <c r="N116" s="1"/>
  <c r="P116" s="1"/>
  <c r="O116" s="1"/>
  <c r="K116" s="1"/>
  <c r="H116" s="1"/>
  <c r="R116"/>
  <c r="X116"/>
  <c r="B117"/>
  <c r="C117" s="1"/>
  <c r="G117"/>
  <c r="J117"/>
  <c r="L117"/>
  <c r="M117" s="1"/>
  <c r="N117" s="1"/>
  <c r="P117" s="1"/>
  <c r="O117" s="1"/>
  <c r="K117" s="1"/>
  <c r="H117" s="1"/>
  <c r="R117"/>
  <c r="X117" s="1"/>
  <c r="Z117"/>
  <c r="B118"/>
  <c r="C118"/>
  <c r="G118"/>
  <c r="J118"/>
  <c r="Z118" s="1"/>
  <c r="L118"/>
  <c r="M118"/>
  <c r="N118" s="1"/>
  <c r="P118" s="1"/>
  <c r="O118" s="1"/>
  <c r="K118" s="1"/>
  <c r="H118" s="1"/>
  <c r="R118"/>
  <c r="X118"/>
  <c r="B119"/>
  <c r="C119" s="1"/>
  <c r="G119"/>
  <c r="J119"/>
  <c r="L119"/>
  <c r="M119" s="1"/>
  <c r="N119" s="1"/>
  <c r="P119" s="1"/>
  <c r="O119" s="1"/>
  <c r="K119" s="1"/>
  <c r="H119" s="1"/>
  <c r="R119"/>
  <c r="X119" s="1"/>
  <c r="Z119"/>
  <c r="B120"/>
  <c r="C120"/>
  <c r="G120"/>
  <c r="J120"/>
  <c r="Z120" s="1"/>
  <c r="L120"/>
  <c r="M120"/>
  <c r="N120" s="1"/>
  <c r="P120" s="1"/>
  <c r="O120" s="1"/>
  <c r="K120" s="1"/>
  <c r="H120" s="1"/>
  <c r="R120"/>
  <c r="X120"/>
  <c r="B121"/>
  <c r="C121" s="1"/>
  <c r="G121"/>
  <c r="J121"/>
  <c r="L121"/>
  <c r="M121" s="1"/>
  <c r="N121" s="1"/>
  <c r="P121" s="1"/>
  <c r="O121" s="1"/>
  <c r="K121" s="1"/>
  <c r="H121" s="1"/>
  <c r="R121"/>
  <c r="X121" s="1"/>
  <c r="Z121"/>
  <c r="B122"/>
  <c r="C122"/>
  <c r="G122"/>
  <c r="J122"/>
  <c r="Z122" s="1"/>
  <c r="L122"/>
  <c r="M122"/>
  <c r="N122" s="1"/>
  <c r="P122" s="1"/>
  <c r="O122" s="1"/>
  <c r="K122" s="1"/>
  <c r="H122" s="1"/>
  <c r="R122"/>
  <c r="X122"/>
  <c r="B123"/>
  <c r="C123" s="1"/>
  <c r="G123"/>
  <c r="J123"/>
  <c r="L123"/>
  <c r="M123" s="1"/>
  <c r="N123" s="1"/>
  <c r="P123" s="1"/>
  <c r="O123" s="1"/>
  <c r="K123" s="1"/>
  <c r="H123" s="1"/>
  <c r="R123"/>
  <c r="X123" s="1"/>
  <c r="Z123"/>
  <c r="B124"/>
  <c r="C124"/>
  <c r="G124"/>
  <c r="J124"/>
  <c r="Z124" s="1"/>
  <c r="L124"/>
  <c r="M124" s="1"/>
  <c r="N124" s="1"/>
  <c r="P124" s="1"/>
  <c r="O124" s="1"/>
  <c r="K124" s="1"/>
  <c r="H124" s="1"/>
  <c r="R124"/>
  <c r="X124"/>
  <c r="B125"/>
  <c r="C125" s="1"/>
  <c r="G125"/>
  <c r="J125"/>
  <c r="L125"/>
  <c r="M125" s="1"/>
  <c r="N125" s="1"/>
  <c r="P125" s="1"/>
  <c r="O125" s="1"/>
  <c r="K125" s="1"/>
  <c r="H125" s="1"/>
  <c r="R125"/>
  <c r="X125" s="1"/>
  <c r="Z125"/>
  <c r="B128"/>
  <c r="C128" s="1"/>
  <c r="J128"/>
  <c r="R128"/>
  <c r="X128"/>
  <c r="B129"/>
  <c r="C129" s="1"/>
  <c r="J129"/>
  <c r="R129"/>
  <c r="X129" s="1"/>
  <c r="B130"/>
  <c r="C130" s="1"/>
  <c r="J130"/>
  <c r="R130"/>
  <c r="X130"/>
  <c r="B131"/>
  <c r="C131" s="1"/>
  <c r="J131"/>
  <c r="R131"/>
  <c r="X131" s="1"/>
  <c r="B132"/>
  <c r="J132"/>
  <c r="R132"/>
  <c r="X132" s="1"/>
  <c r="B133"/>
  <c r="C133" s="1"/>
  <c r="J133"/>
  <c r="R133"/>
  <c r="X133" s="1"/>
  <c r="B134"/>
  <c r="J134"/>
  <c r="R134"/>
  <c r="X134" s="1"/>
  <c r="B135"/>
  <c r="C135" s="1"/>
  <c r="J135"/>
  <c r="R135"/>
  <c r="X135" s="1"/>
  <c r="B136"/>
  <c r="J136"/>
  <c r="R136"/>
  <c r="X136" s="1"/>
  <c r="B137"/>
  <c r="C137" s="1"/>
  <c r="J137"/>
  <c r="R137"/>
  <c r="X137" s="1"/>
  <c r="B138"/>
  <c r="J138"/>
  <c r="R138"/>
  <c r="X138" s="1"/>
  <c r="B139"/>
  <c r="C139" s="1"/>
  <c r="J139"/>
  <c r="R139"/>
  <c r="X139" s="1"/>
  <c r="B140"/>
  <c r="J140"/>
  <c r="R140"/>
  <c r="X140" s="1"/>
  <c r="B141"/>
  <c r="C141" s="1"/>
  <c r="J141"/>
  <c r="R141"/>
  <c r="X141" s="1"/>
  <c r="B142"/>
  <c r="J142"/>
  <c r="R142"/>
  <c r="X142" s="1"/>
  <c r="B143"/>
  <c r="C143" s="1"/>
  <c r="J143"/>
  <c r="R143"/>
  <c r="X143" s="1"/>
  <c r="B146"/>
  <c r="C146" s="1"/>
  <c r="J146"/>
  <c r="R146"/>
  <c r="X146" s="1"/>
  <c r="B147"/>
  <c r="J147"/>
  <c r="Z147" s="1"/>
  <c r="R147"/>
  <c r="X147" s="1"/>
  <c r="B148"/>
  <c r="C148" s="1"/>
  <c r="J148"/>
  <c r="R148"/>
  <c r="X148" s="1"/>
  <c r="B149"/>
  <c r="J149"/>
  <c r="Z149" s="1"/>
  <c r="R149"/>
  <c r="X149" s="1"/>
  <c r="B150"/>
  <c r="G150" s="1"/>
  <c r="J150"/>
  <c r="R150"/>
  <c r="X150" s="1"/>
  <c r="B151"/>
  <c r="J151"/>
  <c r="Z151" s="1"/>
  <c r="R151"/>
  <c r="X151" s="1"/>
  <c r="B152"/>
  <c r="G152" s="1"/>
  <c r="J152"/>
  <c r="R152"/>
  <c r="X152" s="1"/>
  <c r="B153"/>
  <c r="J153"/>
  <c r="R153"/>
  <c r="X153" s="1"/>
  <c r="B154"/>
  <c r="G154" s="1"/>
  <c r="J154"/>
  <c r="R154"/>
  <c r="X154" s="1"/>
  <c r="B155"/>
  <c r="J155"/>
  <c r="Z155" s="1"/>
  <c r="R155"/>
  <c r="X155" s="1"/>
  <c r="B156"/>
  <c r="G156" s="1"/>
  <c r="J156"/>
  <c r="R156"/>
  <c r="X156" s="1"/>
  <c r="B157"/>
  <c r="J157"/>
  <c r="Z157" s="1"/>
  <c r="R157"/>
  <c r="X157" s="1"/>
  <c r="B158"/>
  <c r="G158" s="1"/>
  <c r="J158"/>
  <c r="R158"/>
  <c r="X158" s="1"/>
  <c r="B159"/>
  <c r="J159"/>
  <c r="Z159" s="1"/>
  <c r="R159"/>
  <c r="X159" s="1"/>
  <c r="B160"/>
  <c r="G160" s="1"/>
  <c r="J160"/>
  <c r="R160"/>
  <c r="X160" s="1"/>
  <c r="B161"/>
  <c r="J161"/>
  <c r="Z161" s="1"/>
  <c r="R161"/>
  <c r="X161" s="1"/>
  <c r="B164"/>
  <c r="C164" s="1"/>
  <c r="J164"/>
  <c r="R164"/>
  <c r="X164" s="1"/>
  <c r="B165"/>
  <c r="C165" s="1"/>
  <c r="J165"/>
  <c r="R165"/>
  <c r="X165" s="1"/>
  <c r="B166"/>
  <c r="C166" s="1"/>
  <c r="J166"/>
  <c r="R166"/>
  <c r="X166" s="1"/>
  <c r="Z166"/>
  <c r="B167"/>
  <c r="C167" s="1"/>
  <c r="G167"/>
  <c r="J167"/>
  <c r="R167"/>
  <c r="X167"/>
  <c r="B168"/>
  <c r="C168" s="1"/>
  <c r="J168"/>
  <c r="R168"/>
  <c r="X168" s="1"/>
  <c r="Z168"/>
  <c r="B169"/>
  <c r="C169" s="1"/>
  <c r="G169"/>
  <c r="J169"/>
  <c r="R169"/>
  <c r="X169" s="1"/>
  <c r="B170"/>
  <c r="C170" s="1"/>
  <c r="J170"/>
  <c r="R170"/>
  <c r="X170" s="1"/>
  <c r="B171"/>
  <c r="C171" s="1"/>
  <c r="J171"/>
  <c r="R171"/>
  <c r="X171" s="1"/>
  <c r="B172"/>
  <c r="C172" s="1"/>
  <c r="J172"/>
  <c r="R172"/>
  <c r="X172" s="1"/>
  <c r="B173"/>
  <c r="C173" s="1"/>
  <c r="G173"/>
  <c r="J173"/>
  <c r="R173"/>
  <c r="X173"/>
  <c r="B174"/>
  <c r="C174" s="1"/>
  <c r="J174"/>
  <c r="R174"/>
  <c r="X174" s="1"/>
  <c r="B175"/>
  <c r="C175" s="1"/>
  <c r="G175"/>
  <c r="J175"/>
  <c r="R175"/>
  <c r="X175"/>
  <c r="B176"/>
  <c r="C176" s="1"/>
  <c r="J176"/>
  <c r="R176"/>
  <c r="X176" s="1"/>
  <c r="Z176"/>
  <c r="B177"/>
  <c r="C177" s="1"/>
  <c r="G177"/>
  <c r="J177"/>
  <c r="R177"/>
  <c r="X177" s="1"/>
  <c r="B178"/>
  <c r="C178" s="1"/>
  <c r="J178"/>
  <c r="R178"/>
  <c r="X178" s="1"/>
  <c r="B179"/>
  <c r="C179" s="1"/>
  <c r="J179"/>
  <c r="R179"/>
  <c r="X179" s="1"/>
  <c r="B182"/>
  <c r="C182" s="1"/>
  <c r="J182"/>
  <c r="Z182" s="1"/>
  <c r="R182"/>
  <c r="X182" s="1"/>
  <c r="B183"/>
  <c r="C183" s="1"/>
  <c r="G183"/>
  <c r="J183"/>
  <c r="L183"/>
  <c r="M183" s="1"/>
  <c r="N183" s="1"/>
  <c r="P183" s="1"/>
  <c r="O183" s="1"/>
  <c r="K183" s="1"/>
  <c r="H183" s="1"/>
  <c r="R183"/>
  <c r="X183" s="1"/>
  <c r="B184"/>
  <c r="C184" s="1"/>
  <c r="J184"/>
  <c r="Z184" s="1"/>
  <c r="R184"/>
  <c r="X184" s="1"/>
  <c r="B185"/>
  <c r="C185" s="1"/>
  <c r="G185"/>
  <c r="J185"/>
  <c r="L185"/>
  <c r="M185" s="1"/>
  <c r="N185" s="1"/>
  <c r="P185" s="1"/>
  <c r="O185" s="1"/>
  <c r="K185" s="1"/>
  <c r="H185" s="1"/>
  <c r="R185"/>
  <c r="X185" s="1"/>
  <c r="B186"/>
  <c r="C186" s="1"/>
  <c r="J186"/>
  <c r="Z186" s="1"/>
  <c r="R186"/>
  <c r="X186" s="1"/>
  <c r="B187"/>
  <c r="C187" s="1"/>
  <c r="G187"/>
  <c r="J187"/>
  <c r="L187"/>
  <c r="M187" s="1"/>
  <c r="N187" s="1"/>
  <c r="P187" s="1"/>
  <c r="O187" s="1"/>
  <c r="K187" s="1"/>
  <c r="H187" s="1"/>
  <c r="R187"/>
  <c r="X187" s="1"/>
  <c r="B188"/>
  <c r="C188" s="1"/>
  <c r="J188"/>
  <c r="Z188" s="1"/>
  <c r="R188"/>
  <c r="X188" s="1"/>
  <c r="B189"/>
  <c r="C189" s="1"/>
  <c r="G189"/>
  <c r="J189"/>
  <c r="L189"/>
  <c r="M189" s="1"/>
  <c r="N189" s="1"/>
  <c r="P189" s="1"/>
  <c r="O189" s="1"/>
  <c r="K189" s="1"/>
  <c r="H189" s="1"/>
  <c r="R189"/>
  <c r="X189" s="1"/>
  <c r="B190"/>
  <c r="C190" s="1"/>
  <c r="J190"/>
  <c r="Z190" s="1"/>
  <c r="R190"/>
  <c r="X190" s="1"/>
  <c r="B191"/>
  <c r="C191" s="1"/>
  <c r="G191"/>
  <c r="J191"/>
  <c r="L191"/>
  <c r="M191" s="1"/>
  <c r="N191" s="1"/>
  <c r="P191" s="1"/>
  <c r="O191" s="1"/>
  <c r="K191" s="1"/>
  <c r="H191" s="1"/>
  <c r="R191"/>
  <c r="X191" s="1"/>
  <c r="B192"/>
  <c r="C192" s="1"/>
  <c r="J192"/>
  <c r="Z192" s="1"/>
  <c r="R192"/>
  <c r="X192" s="1"/>
  <c r="B193"/>
  <c r="C193" s="1"/>
  <c r="G193"/>
  <c r="J193"/>
  <c r="L193"/>
  <c r="M193" s="1"/>
  <c r="N193" s="1"/>
  <c r="P193" s="1"/>
  <c r="O193" s="1"/>
  <c r="K193" s="1"/>
  <c r="H193" s="1"/>
  <c r="R193"/>
  <c r="X193" s="1"/>
  <c r="B194"/>
  <c r="C194" s="1"/>
  <c r="J194"/>
  <c r="Z194" s="1"/>
  <c r="R194"/>
  <c r="X194" s="1"/>
  <c r="B195"/>
  <c r="C195" s="1"/>
  <c r="G195"/>
  <c r="J195"/>
  <c r="L195"/>
  <c r="M195" s="1"/>
  <c r="N195" s="1"/>
  <c r="P195" s="1"/>
  <c r="O195" s="1"/>
  <c r="K195" s="1"/>
  <c r="H195" s="1"/>
  <c r="R195"/>
  <c r="X195" s="1"/>
  <c r="B196"/>
  <c r="C196" s="1"/>
  <c r="J196"/>
  <c r="Z196" s="1"/>
  <c r="R196"/>
  <c r="X196" s="1"/>
  <c r="B197"/>
  <c r="C197" s="1"/>
  <c r="G197"/>
  <c r="J197"/>
  <c r="L197"/>
  <c r="M197" s="1"/>
  <c r="N197" s="1"/>
  <c r="P197" s="1"/>
  <c r="O197" s="1"/>
  <c r="K197" s="1"/>
  <c r="H197" s="1"/>
  <c r="R197"/>
  <c r="X197" s="1"/>
  <c r="B200"/>
  <c r="C200" s="1"/>
  <c r="J200"/>
  <c r="R200"/>
  <c r="X200" s="1"/>
  <c r="B201"/>
  <c r="C201" s="1"/>
  <c r="J201"/>
  <c r="R201"/>
  <c r="X201"/>
  <c r="B202"/>
  <c r="C202" s="1"/>
  <c r="J202"/>
  <c r="R202"/>
  <c r="X202" s="1"/>
  <c r="B203"/>
  <c r="J203"/>
  <c r="R203"/>
  <c r="X203" s="1"/>
  <c r="B204"/>
  <c r="C204" s="1"/>
  <c r="J204"/>
  <c r="R204"/>
  <c r="X204" s="1"/>
  <c r="B205"/>
  <c r="J205"/>
  <c r="R205"/>
  <c r="X205" s="1"/>
  <c r="B206"/>
  <c r="C206" s="1"/>
  <c r="J206"/>
  <c r="R206"/>
  <c r="X206" s="1"/>
  <c r="B207"/>
  <c r="J207"/>
  <c r="R207"/>
  <c r="X207" s="1"/>
  <c r="B208"/>
  <c r="C208" s="1"/>
  <c r="J208"/>
  <c r="R208"/>
  <c r="X208" s="1"/>
  <c r="B209"/>
  <c r="J209"/>
  <c r="R209"/>
  <c r="X209" s="1"/>
  <c r="B210"/>
  <c r="C210" s="1"/>
  <c r="J210"/>
  <c r="R210"/>
  <c r="X210" s="1"/>
  <c r="B211"/>
  <c r="J211"/>
  <c r="R211"/>
  <c r="X211" s="1"/>
  <c r="B212"/>
  <c r="C212" s="1"/>
  <c r="J212"/>
  <c r="R212"/>
  <c r="X212" s="1"/>
  <c r="B213"/>
  <c r="J213"/>
  <c r="R213"/>
  <c r="X213" s="1"/>
  <c r="B214"/>
  <c r="C214" s="1"/>
  <c r="J214"/>
  <c r="R214"/>
  <c r="X214" s="1"/>
  <c r="B215"/>
  <c r="J215"/>
  <c r="R215"/>
  <c r="X215" s="1"/>
  <c r="B218"/>
  <c r="J218"/>
  <c r="R218"/>
  <c r="X218" s="1"/>
  <c r="B219"/>
  <c r="C219" s="1"/>
  <c r="G219"/>
  <c r="J219"/>
  <c r="Z219" s="1"/>
  <c r="L219"/>
  <c r="R219"/>
  <c r="X219" s="1"/>
  <c r="B220"/>
  <c r="J220"/>
  <c r="R220"/>
  <c r="X220" s="1"/>
  <c r="B221"/>
  <c r="G221" s="1"/>
  <c r="J221"/>
  <c r="Z221" s="1"/>
  <c r="R221"/>
  <c r="X221" s="1"/>
  <c r="B222"/>
  <c r="J222"/>
  <c r="R222"/>
  <c r="X222" s="1"/>
  <c r="B223"/>
  <c r="G223" s="1"/>
  <c r="J223"/>
  <c r="Z223" s="1"/>
  <c r="R223"/>
  <c r="X223" s="1"/>
  <c r="B224"/>
  <c r="J224"/>
  <c r="R224"/>
  <c r="X224" s="1"/>
  <c r="B225"/>
  <c r="G225" s="1"/>
  <c r="J225"/>
  <c r="Z225" s="1"/>
  <c r="R225"/>
  <c r="X225" s="1"/>
  <c r="B226"/>
  <c r="J226"/>
  <c r="R226"/>
  <c r="X226" s="1"/>
  <c r="B227"/>
  <c r="G227" s="1"/>
  <c r="J227"/>
  <c r="Z227" s="1"/>
  <c r="R227"/>
  <c r="X227" s="1"/>
  <c r="B228"/>
  <c r="J228"/>
  <c r="R228"/>
  <c r="X228" s="1"/>
  <c r="B229"/>
  <c r="G229" s="1"/>
  <c r="J229"/>
  <c r="Z229" s="1"/>
  <c r="R229"/>
  <c r="X229" s="1"/>
  <c r="B230"/>
  <c r="J230"/>
  <c r="R230"/>
  <c r="X230" s="1"/>
  <c r="B231"/>
  <c r="G231" s="1"/>
  <c r="J231"/>
  <c r="R231"/>
  <c r="X231" s="1"/>
  <c r="B232"/>
  <c r="J232"/>
  <c r="R232"/>
  <c r="X232" s="1"/>
  <c r="B233"/>
  <c r="G233" s="1"/>
  <c r="J233"/>
  <c r="Z233" s="1"/>
  <c r="R233"/>
  <c r="X233" s="1"/>
  <c r="B236"/>
  <c r="C236" s="1"/>
  <c r="J236"/>
  <c r="R236"/>
  <c r="X236" s="1"/>
  <c r="B237"/>
  <c r="C237"/>
  <c r="G237"/>
  <c r="J237"/>
  <c r="R237"/>
  <c r="X237"/>
  <c r="B238"/>
  <c r="J238"/>
  <c r="R238"/>
  <c r="X238" s="1"/>
  <c r="B239"/>
  <c r="C239" s="1"/>
  <c r="J239"/>
  <c r="R239"/>
  <c r="X239" s="1"/>
  <c r="B240"/>
  <c r="C240" s="1"/>
  <c r="G240"/>
  <c r="J240"/>
  <c r="R240"/>
  <c r="X240" s="1"/>
  <c r="B241"/>
  <c r="C241" s="1"/>
  <c r="J241"/>
  <c r="R241"/>
  <c r="X241" s="1"/>
  <c r="Z241"/>
  <c r="B242"/>
  <c r="C242"/>
  <c r="G242"/>
  <c r="J242"/>
  <c r="Z242" s="1"/>
  <c r="R242"/>
  <c r="X242"/>
  <c r="B243"/>
  <c r="C243" s="1"/>
  <c r="J243"/>
  <c r="R243"/>
  <c r="X243" s="1"/>
  <c r="Z243"/>
  <c r="B244"/>
  <c r="C244" s="1"/>
  <c r="G244"/>
  <c r="J244"/>
  <c r="R244"/>
  <c r="X244"/>
  <c r="B245"/>
  <c r="C245" s="1"/>
  <c r="J245"/>
  <c r="R245"/>
  <c r="X245" s="1"/>
  <c r="Z245"/>
  <c r="B246"/>
  <c r="C246" s="1"/>
  <c r="G246"/>
  <c r="J246"/>
  <c r="R246"/>
  <c r="X246" s="1"/>
  <c r="B247"/>
  <c r="C247" s="1"/>
  <c r="J247"/>
  <c r="R247"/>
  <c r="X247" s="1"/>
  <c r="B248"/>
  <c r="C248" s="1"/>
  <c r="J248"/>
  <c r="R248"/>
  <c r="X248" s="1"/>
  <c r="B249"/>
  <c r="C249" s="1"/>
  <c r="J249"/>
  <c r="R249"/>
  <c r="X249" s="1"/>
  <c r="B250"/>
  <c r="C250" s="1"/>
  <c r="G250"/>
  <c r="J250"/>
  <c r="R250"/>
  <c r="X250"/>
  <c r="B251"/>
  <c r="C251" s="1"/>
  <c r="J251"/>
  <c r="R251"/>
  <c r="X251" s="1"/>
  <c r="B254"/>
  <c r="C254" s="1"/>
  <c r="G254"/>
  <c r="J254"/>
  <c r="L254"/>
  <c r="M254" s="1"/>
  <c r="N254" s="1"/>
  <c r="P254" s="1"/>
  <c r="O254" s="1"/>
  <c r="K254" s="1"/>
  <c r="H254" s="1"/>
  <c r="R254"/>
  <c r="X254"/>
  <c r="B255"/>
  <c r="C255" s="1"/>
  <c r="G255"/>
  <c r="J255"/>
  <c r="L255"/>
  <c r="M255" s="1"/>
  <c r="N255" s="1"/>
  <c r="P255" s="1"/>
  <c r="O255" s="1"/>
  <c r="K255" s="1"/>
  <c r="H255" s="1"/>
  <c r="R255"/>
  <c r="X255" s="1"/>
  <c r="Z255"/>
  <c r="B256"/>
  <c r="C256"/>
  <c r="G256"/>
  <c r="J256"/>
  <c r="Z256" s="1"/>
  <c r="L256"/>
  <c r="M256"/>
  <c r="N256" s="1"/>
  <c r="P256" s="1"/>
  <c r="O256" s="1"/>
  <c r="K256" s="1"/>
  <c r="H256" s="1"/>
  <c r="R256"/>
  <c r="X256"/>
  <c r="B257"/>
  <c r="C257" s="1"/>
  <c r="G257"/>
  <c r="J257"/>
  <c r="L257"/>
  <c r="M257" s="1"/>
  <c r="N257" s="1"/>
  <c r="P257" s="1"/>
  <c r="O257" s="1"/>
  <c r="K257" s="1"/>
  <c r="H257" s="1"/>
  <c r="R257"/>
  <c r="X257" s="1"/>
  <c r="Z257"/>
  <c r="B258"/>
  <c r="C258"/>
  <c r="G258"/>
  <c r="J258"/>
  <c r="Z258" s="1"/>
  <c r="L258"/>
  <c r="M258"/>
  <c r="N258" s="1"/>
  <c r="P258" s="1"/>
  <c r="O258" s="1"/>
  <c r="K258" s="1"/>
  <c r="H258" s="1"/>
  <c r="R258"/>
  <c r="X258"/>
  <c r="B259"/>
  <c r="C259" s="1"/>
  <c r="G259"/>
  <c r="J259"/>
  <c r="L259"/>
  <c r="M259" s="1"/>
  <c r="N259" s="1"/>
  <c r="P259" s="1"/>
  <c r="O259" s="1"/>
  <c r="K259" s="1"/>
  <c r="H259" s="1"/>
  <c r="R259"/>
  <c r="X259" s="1"/>
  <c r="Z259"/>
  <c r="B260"/>
  <c r="C260"/>
  <c r="G260"/>
  <c r="J260"/>
  <c r="Z260" s="1"/>
  <c r="L260"/>
  <c r="M260"/>
  <c r="N260" s="1"/>
  <c r="P260" s="1"/>
  <c r="O260" s="1"/>
  <c r="K260" s="1"/>
  <c r="H260" s="1"/>
  <c r="R260"/>
  <c r="X260"/>
  <c r="B261"/>
  <c r="C261" s="1"/>
  <c r="G261"/>
  <c r="J261"/>
  <c r="L261"/>
  <c r="M261" s="1"/>
  <c r="N261" s="1"/>
  <c r="P261" s="1"/>
  <c r="O261" s="1"/>
  <c r="K261" s="1"/>
  <c r="H261" s="1"/>
  <c r="R261"/>
  <c r="X261" s="1"/>
  <c r="Z261"/>
  <c r="B262"/>
  <c r="C262"/>
  <c r="G262"/>
  <c r="J262"/>
  <c r="Z262" s="1"/>
  <c r="L262"/>
  <c r="M262"/>
  <c r="N262" s="1"/>
  <c r="P262" s="1"/>
  <c r="O262" s="1"/>
  <c r="K262" s="1"/>
  <c r="H262" s="1"/>
  <c r="R262"/>
  <c r="X262"/>
  <c r="B263"/>
  <c r="C263" s="1"/>
  <c r="G263"/>
  <c r="J263"/>
  <c r="L263"/>
  <c r="M263" s="1"/>
  <c r="N263" s="1"/>
  <c r="P263" s="1"/>
  <c r="O263" s="1"/>
  <c r="K263" s="1"/>
  <c r="H263" s="1"/>
  <c r="R263"/>
  <c r="X263" s="1"/>
  <c r="Z263"/>
  <c r="B264"/>
  <c r="C264"/>
  <c r="G264"/>
  <c r="J264"/>
  <c r="Z264" s="1"/>
  <c r="L264"/>
  <c r="M264"/>
  <c r="N264" s="1"/>
  <c r="P264" s="1"/>
  <c r="O264" s="1"/>
  <c r="K264" s="1"/>
  <c r="H264" s="1"/>
  <c r="R264"/>
  <c r="X264"/>
  <c r="B265"/>
  <c r="C265" s="1"/>
  <c r="G265"/>
  <c r="J265"/>
  <c r="L265"/>
  <c r="M265" s="1"/>
  <c r="N265" s="1"/>
  <c r="P265" s="1"/>
  <c r="O265" s="1"/>
  <c r="K265" s="1"/>
  <c r="H265" s="1"/>
  <c r="R265"/>
  <c r="X265" s="1"/>
  <c r="Z265"/>
  <c r="B266"/>
  <c r="C266"/>
  <c r="G266"/>
  <c r="J266"/>
  <c r="Z266" s="1"/>
  <c r="L266"/>
  <c r="M266"/>
  <c r="N266" s="1"/>
  <c r="P266" s="1"/>
  <c r="O266" s="1"/>
  <c r="K266" s="1"/>
  <c r="H266" s="1"/>
  <c r="R266"/>
  <c r="X266"/>
  <c r="B267"/>
  <c r="C267" s="1"/>
  <c r="G267"/>
  <c r="L267" s="1"/>
  <c r="M267" s="1"/>
  <c r="N267" s="1"/>
  <c r="P267" s="1"/>
  <c r="O267" s="1"/>
  <c r="K267" s="1"/>
  <c r="H267" s="1"/>
  <c r="J267"/>
  <c r="R267"/>
  <c r="X267" s="1"/>
  <c r="Z267"/>
  <c r="B268"/>
  <c r="C268"/>
  <c r="G268"/>
  <c r="J268"/>
  <c r="Z268" s="1"/>
  <c r="L268"/>
  <c r="M268" s="1"/>
  <c r="N268" s="1"/>
  <c r="P268" s="1"/>
  <c r="O268" s="1"/>
  <c r="K268" s="1"/>
  <c r="H268" s="1"/>
  <c r="R268"/>
  <c r="X268"/>
  <c r="B269"/>
  <c r="C269" s="1"/>
  <c r="J269"/>
  <c r="R269"/>
  <c r="X269" s="1"/>
  <c r="B272"/>
  <c r="C272"/>
  <c r="G272"/>
  <c r="J272"/>
  <c r="Z272" s="1"/>
  <c r="R272"/>
  <c r="X272"/>
  <c r="B273"/>
  <c r="J273"/>
  <c r="R273"/>
  <c r="X273" s="1"/>
  <c r="Z273"/>
  <c r="B274"/>
  <c r="C274"/>
  <c r="G274"/>
  <c r="J274"/>
  <c r="Z274" s="1"/>
  <c r="R274"/>
  <c r="X274"/>
  <c r="B275"/>
  <c r="J275"/>
  <c r="R275"/>
  <c r="X275" s="1"/>
  <c r="B276"/>
  <c r="J276"/>
  <c r="R276"/>
  <c r="X276" s="1"/>
  <c r="B277"/>
  <c r="J277"/>
  <c r="R277"/>
  <c r="X277" s="1"/>
  <c r="B278"/>
  <c r="J278"/>
  <c r="R278"/>
  <c r="X278" s="1"/>
  <c r="B279"/>
  <c r="J279"/>
  <c r="R279"/>
  <c r="X279" s="1"/>
  <c r="B280"/>
  <c r="J280"/>
  <c r="R280"/>
  <c r="X280" s="1"/>
  <c r="B281"/>
  <c r="J281"/>
  <c r="R281"/>
  <c r="X281" s="1"/>
  <c r="B282"/>
  <c r="J282"/>
  <c r="R282"/>
  <c r="X282" s="1"/>
  <c r="B283"/>
  <c r="J283"/>
  <c r="R283"/>
  <c r="X283" s="1"/>
  <c r="B284"/>
  <c r="J284"/>
  <c r="R284"/>
  <c r="X284" s="1"/>
  <c r="B285"/>
  <c r="J285"/>
  <c r="R285"/>
  <c r="X285" s="1"/>
  <c r="B286"/>
  <c r="J286"/>
  <c r="R286"/>
  <c r="X286" s="1"/>
  <c r="B287"/>
  <c r="J287"/>
  <c r="R287"/>
  <c r="X287" s="1"/>
  <c r="B290"/>
  <c r="J290"/>
  <c r="R290"/>
  <c r="X290" s="1"/>
  <c r="B291"/>
  <c r="C291" s="1"/>
  <c r="G291"/>
  <c r="J291"/>
  <c r="Z291" s="1"/>
  <c r="L291"/>
  <c r="R291"/>
  <c r="X291" s="1"/>
  <c r="B292"/>
  <c r="J292"/>
  <c r="R292"/>
  <c r="X292" s="1"/>
  <c r="B293"/>
  <c r="G293" s="1"/>
  <c r="L293" s="1"/>
  <c r="J293"/>
  <c r="Z293" s="1"/>
  <c r="R293"/>
  <c r="X293" s="1"/>
  <c r="B294"/>
  <c r="J294"/>
  <c r="R294"/>
  <c r="X294" s="1"/>
  <c r="B295"/>
  <c r="G295"/>
  <c r="J295"/>
  <c r="Z295" s="1"/>
  <c r="L295"/>
  <c r="R295"/>
  <c r="X295" s="1"/>
  <c r="B296"/>
  <c r="C296" s="1"/>
  <c r="J296"/>
  <c r="R296"/>
  <c r="X296" s="1"/>
  <c r="B297"/>
  <c r="J297"/>
  <c r="Z297" s="1"/>
  <c r="R297"/>
  <c r="X297" s="1"/>
  <c r="B298"/>
  <c r="C298" s="1"/>
  <c r="J298"/>
  <c r="R298"/>
  <c r="X298" s="1"/>
  <c r="B299"/>
  <c r="J299"/>
  <c r="Z299" s="1"/>
  <c r="R299"/>
  <c r="X299" s="1"/>
  <c r="B300"/>
  <c r="C300" s="1"/>
  <c r="J300"/>
  <c r="R300"/>
  <c r="X300" s="1"/>
  <c r="B301"/>
  <c r="J301"/>
  <c r="Z301" s="1"/>
  <c r="R301"/>
  <c r="X301" s="1"/>
  <c r="B302"/>
  <c r="C302" s="1"/>
  <c r="J302"/>
  <c r="R302"/>
  <c r="X302" s="1"/>
  <c r="B303"/>
  <c r="J303"/>
  <c r="Z303" s="1"/>
  <c r="R303"/>
  <c r="X303" s="1"/>
  <c r="B304"/>
  <c r="C304" s="1"/>
  <c r="J304"/>
  <c r="R304"/>
  <c r="X304" s="1"/>
  <c r="B305"/>
  <c r="J305"/>
  <c r="Z305" s="1"/>
  <c r="R305"/>
  <c r="X305" s="1"/>
  <c r="B308"/>
  <c r="J308"/>
  <c r="R308"/>
  <c r="X308" s="1"/>
  <c r="B309"/>
  <c r="C309" s="1"/>
  <c r="J309"/>
  <c r="R309"/>
  <c r="X309" s="1"/>
  <c r="Z309"/>
  <c r="B310"/>
  <c r="J310"/>
  <c r="R310"/>
  <c r="X310"/>
  <c r="B311"/>
  <c r="C311"/>
  <c r="G311"/>
  <c r="J311"/>
  <c r="Z311" s="1"/>
  <c r="R311"/>
  <c r="X311"/>
  <c r="B312"/>
  <c r="C312" s="1"/>
  <c r="G312"/>
  <c r="J312"/>
  <c r="R312"/>
  <c r="X312" s="1"/>
  <c r="Z312"/>
  <c r="B313"/>
  <c r="C313" s="1"/>
  <c r="G313"/>
  <c r="J313"/>
  <c r="R313"/>
  <c r="X313" s="1"/>
  <c r="B314"/>
  <c r="C314" s="1"/>
  <c r="J314"/>
  <c r="R314"/>
  <c r="X314" s="1"/>
  <c r="B315"/>
  <c r="C315" s="1"/>
  <c r="G315"/>
  <c r="J315"/>
  <c r="R315"/>
  <c r="X315" s="1"/>
  <c r="B316"/>
  <c r="C316" s="1"/>
  <c r="J316"/>
  <c r="R316"/>
  <c r="X316" s="1"/>
  <c r="Z316"/>
  <c r="B317"/>
  <c r="C317"/>
  <c r="G317"/>
  <c r="J317"/>
  <c r="Z317" s="1"/>
  <c r="R317"/>
  <c r="X317"/>
  <c r="B318"/>
  <c r="C318" s="1"/>
  <c r="J318"/>
  <c r="R318"/>
  <c r="X318" s="1"/>
  <c r="B319"/>
  <c r="C319" s="1"/>
  <c r="G319"/>
  <c r="J319"/>
  <c r="R319"/>
  <c r="X319" s="1"/>
  <c r="B320"/>
  <c r="C320" s="1"/>
  <c r="J320"/>
  <c r="R320"/>
  <c r="X320" s="1"/>
  <c r="Z320"/>
  <c r="B321"/>
  <c r="C321"/>
  <c r="G321"/>
  <c r="J321"/>
  <c r="Z321" s="1"/>
  <c r="R321"/>
  <c r="X321"/>
  <c r="B322"/>
  <c r="C322" s="1"/>
  <c r="J322"/>
  <c r="R322"/>
  <c r="X322" s="1"/>
  <c r="Z322"/>
  <c r="B323"/>
  <c r="C323"/>
  <c r="G323"/>
  <c r="J323"/>
  <c r="Z323" s="1"/>
  <c r="R323"/>
  <c r="X323"/>
  <c r="B326"/>
  <c r="C326" s="1"/>
  <c r="G326"/>
  <c r="L326" s="1"/>
  <c r="M326" s="1"/>
  <c r="N326" s="1"/>
  <c r="P326" s="1"/>
  <c r="O326" s="1"/>
  <c r="K326" s="1"/>
  <c r="H326" s="1"/>
  <c r="J326"/>
  <c r="R326"/>
  <c r="X326" s="1"/>
  <c r="Z326"/>
  <c r="B327"/>
  <c r="C327" s="1"/>
  <c r="G327"/>
  <c r="J327"/>
  <c r="L327"/>
  <c r="M327" s="1"/>
  <c r="N327" s="1"/>
  <c r="P327" s="1"/>
  <c r="O327" s="1"/>
  <c r="K327" s="1"/>
  <c r="H327" s="1"/>
  <c r="R327"/>
  <c r="X327" s="1"/>
  <c r="B328"/>
  <c r="C328" s="1"/>
  <c r="G328"/>
  <c r="J328"/>
  <c r="L328"/>
  <c r="M328" s="1"/>
  <c r="N328" s="1"/>
  <c r="P328" s="1"/>
  <c r="O328" s="1"/>
  <c r="K328" s="1"/>
  <c r="H328" s="1"/>
  <c r="R328"/>
  <c r="X328" s="1"/>
  <c r="B329"/>
  <c r="G329" s="1"/>
  <c r="J329"/>
  <c r="R329"/>
  <c r="X329" s="1"/>
  <c r="B330"/>
  <c r="C330" s="1"/>
  <c r="J330"/>
  <c r="R330"/>
  <c r="X330" s="1"/>
  <c r="B331"/>
  <c r="C331"/>
  <c r="G331"/>
  <c r="J331"/>
  <c r="L331"/>
  <c r="M331"/>
  <c r="N331" s="1"/>
  <c r="P331" s="1"/>
  <c r="O331" s="1"/>
  <c r="K331" s="1"/>
  <c r="H331" s="1"/>
  <c r="R331"/>
  <c r="X331" s="1"/>
  <c r="Z331"/>
  <c r="B332"/>
  <c r="C332"/>
  <c r="G332"/>
  <c r="J332"/>
  <c r="Z332" s="1"/>
  <c r="L332"/>
  <c r="M332"/>
  <c r="N332" s="1"/>
  <c r="P332" s="1"/>
  <c r="O332" s="1"/>
  <c r="K332" s="1"/>
  <c r="H332" s="1"/>
  <c r="R332"/>
  <c r="X332"/>
  <c r="B333"/>
  <c r="J333"/>
  <c r="R333"/>
  <c r="X333"/>
  <c r="B334"/>
  <c r="C334" s="1"/>
  <c r="G334"/>
  <c r="J334"/>
  <c r="L334"/>
  <c r="M334" s="1"/>
  <c r="N334" s="1"/>
  <c r="P334" s="1"/>
  <c r="O334" s="1"/>
  <c r="K334" s="1"/>
  <c r="H334" s="1"/>
  <c r="R334"/>
  <c r="X334" s="1"/>
  <c r="Z334"/>
  <c r="B335"/>
  <c r="C335"/>
  <c r="G335"/>
  <c r="J335"/>
  <c r="L335"/>
  <c r="M335"/>
  <c r="N335" s="1"/>
  <c r="P335" s="1"/>
  <c r="O335" s="1"/>
  <c r="K335" s="1"/>
  <c r="H335" s="1"/>
  <c r="R335"/>
  <c r="X335" s="1"/>
  <c r="Z335"/>
  <c r="B336"/>
  <c r="C336"/>
  <c r="G336"/>
  <c r="J336"/>
  <c r="Z336" s="1"/>
  <c r="L336"/>
  <c r="M336"/>
  <c r="N336" s="1"/>
  <c r="P336" s="1"/>
  <c r="O336" s="1"/>
  <c r="K336" s="1"/>
  <c r="H336" s="1"/>
  <c r="R336"/>
  <c r="X336"/>
  <c r="B337"/>
  <c r="G337"/>
  <c r="J337"/>
  <c r="L337"/>
  <c r="M337" s="1"/>
  <c r="N337" s="1"/>
  <c r="P337" s="1"/>
  <c r="O337" s="1"/>
  <c r="K337" s="1"/>
  <c r="H337" s="1"/>
  <c r="R337"/>
  <c r="X337"/>
  <c r="B338"/>
  <c r="C338" s="1"/>
  <c r="J338"/>
  <c r="R338"/>
  <c r="X338" s="1"/>
  <c r="B339"/>
  <c r="C339" s="1"/>
  <c r="G339"/>
  <c r="J339"/>
  <c r="L339"/>
  <c r="M339" s="1"/>
  <c r="N339" s="1"/>
  <c r="P339" s="1"/>
  <c r="O339" s="1"/>
  <c r="K339" s="1"/>
  <c r="H339" s="1"/>
  <c r="R339"/>
  <c r="X339" s="1"/>
  <c r="B340"/>
  <c r="C340" s="1"/>
  <c r="G340"/>
  <c r="J340"/>
  <c r="L340"/>
  <c r="M340" s="1"/>
  <c r="N340" s="1"/>
  <c r="P340" s="1"/>
  <c r="O340" s="1"/>
  <c r="K340" s="1"/>
  <c r="H340" s="1"/>
  <c r="R340"/>
  <c r="X340" s="1"/>
  <c r="B341"/>
  <c r="J341"/>
  <c r="R341"/>
  <c r="X341" s="1"/>
  <c r="B344"/>
  <c r="C344" s="1"/>
  <c r="J344"/>
  <c r="R344"/>
  <c r="X344" s="1"/>
  <c r="Z344"/>
  <c r="B345"/>
  <c r="J345"/>
  <c r="R345"/>
  <c r="X345"/>
  <c r="B346"/>
  <c r="C346"/>
  <c r="G346"/>
  <c r="J346"/>
  <c r="Z346" s="1"/>
  <c r="R346"/>
  <c r="X346"/>
  <c r="B347"/>
  <c r="J347"/>
  <c r="R347"/>
  <c r="X347" s="1"/>
  <c r="B348"/>
  <c r="J348"/>
  <c r="R348"/>
  <c r="X348" s="1"/>
  <c r="B349"/>
  <c r="J349"/>
  <c r="R349"/>
  <c r="X349" s="1"/>
  <c r="B350"/>
  <c r="J350"/>
  <c r="R350"/>
  <c r="X350" s="1"/>
  <c r="B351"/>
  <c r="J351"/>
  <c r="R351"/>
  <c r="X351" s="1"/>
  <c r="B352"/>
  <c r="J352"/>
  <c r="R352"/>
  <c r="X352" s="1"/>
  <c r="B353"/>
  <c r="J353"/>
  <c r="R353"/>
  <c r="X353" s="1"/>
  <c r="B354"/>
  <c r="J354"/>
  <c r="R354"/>
  <c r="X354" s="1"/>
  <c r="B355"/>
  <c r="J355"/>
  <c r="R355"/>
  <c r="X355" s="1"/>
  <c r="B356"/>
  <c r="J356"/>
  <c r="R356"/>
  <c r="X356" s="1"/>
  <c r="B357"/>
  <c r="J357"/>
  <c r="R357"/>
  <c r="X357" s="1"/>
  <c r="B358"/>
  <c r="J358"/>
  <c r="R358"/>
  <c r="X358" s="1"/>
  <c r="B359"/>
  <c r="J359"/>
  <c r="R359"/>
  <c r="X359" s="1"/>
  <c r="B362"/>
  <c r="J362"/>
  <c r="R362"/>
  <c r="X362" s="1"/>
  <c r="B363"/>
  <c r="C363" s="1"/>
  <c r="G363"/>
  <c r="J363"/>
  <c r="Z363" s="1"/>
  <c r="L363"/>
  <c r="R363"/>
  <c r="X363" s="1"/>
  <c r="B364"/>
  <c r="J364"/>
  <c r="R364"/>
  <c r="X364" s="1"/>
  <c r="B365"/>
  <c r="G365"/>
  <c r="J365"/>
  <c r="Z365" s="1"/>
  <c r="L365"/>
  <c r="R365"/>
  <c r="X365" s="1"/>
  <c r="B366"/>
  <c r="J366"/>
  <c r="R366"/>
  <c r="X366" s="1"/>
  <c r="B367"/>
  <c r="G367"/>
  <c r="L367" s="1"/>
  <c r="J367"/>
  <c r="Z367" s="1"/>
  <c r="R367"/>
  <c r="X367" s="1"/>
  <c r="B368"/>
  <c r="J368"/>
  <c r="R368"/>
  <c r="X368" s="1"/>
  <c r="B369"/>
  <c r="G369" s="1"/>
  <c r="L369" s="1"/>
  <c r="J369"/>
  <c r="Z369" s="1"/>
  <c r="R369"/>
  <c r="X369" s="1"/>
  <c r="B370"/>
  <c r="J370"/>
  <c r="R370"/>
  <c r="X370" s="1"/>
  <c r="B371"/>
  <c r="G371"/>
  <c r="L371" s="1"/>
  <c r="J371"/>
  <c r="Z371" s="1"/>
  <c r="R371"/>
  <c r="X371" s="1"/>
  <c r="B372"/>
  <c r="J372"/>
  <c r="R372"/>
  <c r="X372" s="1"/>
  <c r="B373"/>
  <c r="G373" s="1"/>
  <c r="L373" s="1"/>
  <c r="J373"/>
  <c r="Z373" s="1"/>
  <c r="R373"/>
  <c r="X373" s="1"/>
  <c r="B374"/>
  <c r="J374"/>
  <c r="R374"/>
  <c r="X374" s="1"/>
  <c r="B375"/>
  <c r="G375"/>
  <c r="J375"/>
  <c r="Z375" s="1"/>
  <c r="L375"/>
  <c r="R375"/>
  <c r="X375" s="1"/>
  <c r="B376"/>
  <c r="J376"/>
  <c r="R376"/>
  <c r="X376" s="1"/>
  <c r="B377"/>
  <c r="G377"/>
  <c r="J377"/>
  <c r="Z377" s="1"/>
  <c r="L377"/>
  <c r="R377"/>
  <c r="X377" s="1"/>
  <c r="B380"/>
  <c r="Z380" s="1"/>
  <c r="J380"/>
  <c r="R380"/>
  <c r="X380" s="1"/>
  <c r="B381"/>
  <c r="C381"/>
  <c r="G381"/>
  <c r="J381"/>
  <c r="R381"/>
  <c r="X381"/>
  <c r="B382"/>
  <c r="J382"/>
  <c r="R382"/>
  <c r="X382" s="1"/>
  <c r="B383"/>
  <c r="C383" s="1"/>
  <c r="J383"/>
  <c r="R383"/>
  <c r="X383" s="1"/>
  <c r="B384"/>
  <c r="C384" s="1"/>
  <c r="G384"/>
  <c r="J384"/>
  <c r="R384"/>
  <c r="X384" s="1"/>
  <c r="B385"/>
  <c r="C385" s="1"/>
  <c r="J385"/>
  <c r="R385"/>
  <c r="X385" s="1"/>
  <c r="Z385"/>
  <c r="B386"/>
  <c r="C386"/>
  <c r="G386"/>
  <c r="J386"/>
  <c r="Z386" s="1"/>
  <c r="R386"/>
  <c r="X386"/>
  <c r="B387"/>
  <c r="C387" s="1"/>
  <c r="J387"/>
  <c r="R387"/>
  <c r="X387" s="1"/>
  <c r="Z387"/>
  <c r="B388"/>
  <c r="C388"/>
  <c r="G388"/>
  <c r="J388"/>
  <c r="Z388" s="1"/>
  <c r="R388"/>
  <c r="X388"/>
  <c r="B389"/>
  <c r="C389" s="1"/>
  <c r="G389"/>
  <c r="J389"/>
  <c r="R389"/>
  <c r="X389" s="1"/>
  <c r="Z389"/>
  <c r="B390"/>
  <c r="C390" s="1"/>
  <c r="G390"/>
  <c r="J390"/>
  <c r="R390"/>
  <c r="X390" s="1"/>
  <c r="B391"/>
  <c r="C391" s="1"/>
  <c r="J391"/>
  <c r="R391"/>
  <c r="X391" s="1"/>
  <c r="Z391"/>
  <c r="B392"/>
  <c r="C392"/>
  <c r="G392"/>
  <c r="J392"/>
  <c r="Z392" s="1"/>
  <c r="R392"/>
  <c r="X392"/>
  <c r="B393"/>
  <c r="C393" s="1"/>
  <c r="G393"/>
  <c r="J393"/>
  <c r="R393"/>
  <c r="X393" s="1"/>
  <c r="Z393"/>
  <c r="B394"/>
  <c r="C394" s="1"/>
  <c r="G394"/>
  <c r="J394"/>
  <c r="R394"/>
  <c r="X394" s="1"/>
  <c r="B395"/>
  <c r="C395" s="1"/>
  <c r="J395"/>
  <c r="R395"/>
  <c r="X395" s="1"/>
  <c r="Z395"/>
  <c r="B398"/>
  <c r="C398"/>
  <c r="G398"/>
  <c r="J398"/>
  <c r="L398"/>
  <c r="M398"/>
  <c r="N398" s="1"/>
  <c r="P398" s="1"/>
  <c r="O398" s="1"/>
  <c r="K398" s="1"/>
  <c r="H398" s="1"/>
  <c r="R398"/>
  <c r="X398" s="1"/>
  <c r="Z398"/>
  <c r="B399"/>
  <c r="C399"/>
  <c r="G399"/>
  <c r="J399"/>
  <c r="Z399" s="1"/>
  <c r="L399"/>
  <c r="M399"/>
  <c r="N399" s="1"/>
  <c r="P399" s="1"/>
  <c r="O399" s="1"/>
  <c r="K399" s="1"/>
  <c r="H399" s="1"/>
  <c r="R399"/>
  <c r="X399"/>
  <c r="B400"/>
  <c r="C400" s="1"/>
  <c r="G400"/>
  <c r="J400"/>
  <c r="L400"/>
  <c r="M400" s="1"/>
  <c r="N400" s="1"/>
  <c r="P400" s="1"/>
  <c r="O400" s="1"/>
  <c r="K400" s="1"/>
  <c r="H400" s="1"/>
  <c r="R400"/>
  <c r="X400"/>
  <c r="B401"/>
  <c r="C401" s="1"/>
  <c r="G401"/>
  <c r="J401"/>
  <c r="L401"/>
  <c r="M401" s="1"/>
  <c r="N401" s="1"/>
  <c r="P401" s="1"/>
  <c r="O401" s="1"/>
  <c r="K401" s="1"/>
  <c r="H401" s="1"/>
  <c r="R401"/>
  <c r="X401" s="1"/>
  <c r="Z401"/>
  <c r="B402"/>
  <c r="C402"/>
  <c r="G402"/>
  <c r="J402"/>
  <c r="L402"/>
  <c r="M402"/>
  <c r="N402" s="1"/>
  <c r="P402" s="1"/>
  <c r="O402" s="1"/>
  <c r="K402" s="1"/>
  <c r="H402" s="1"/>
  <c r="R402"/>
  <c r="X402" s="1"/>
  <c r="Z402"/>
  <c r="B403"/>
  <c r="C403"/>
  <c r="G403"/>
  <c r="J403"/>
  <c r="Z403" s="1"/>
  <c r="L403"/>
  <c r="M403"/>
  <c r="N403" s="1"/>
  <c r="P403" s="1"/>
  <c r="O403" s="1"/>
  <c r="K403" s="1"/>
  <c r="H403" s="1"/>
  <c r="R403"/>
  <c r="X403"/>
  <c r="B404"/>
  <c r="C404" s="1"/>
  <c r="G404"/>
  <c r="J404"/>
  <c r="L404"/>
  <c r="M404" s="1"/>
  <c r="N404" s="1"/>
  <c r="P404" s="1"/>
  <c r="O404" s="1"/>
  <c r="K404" s="1"/>
  <c r="H404" s="1"/>
  <c r="R404"/>
  <c r="X404"/>
  <c r="B405"/>
  <c r="C405" s="1"/>
  <c r="G405"/>
  <c r="J405"/>
  <c r="L405"/>
  <c r="M405" s="1"/>
  <c r="N405" s="1"/>
  <c r="P405" s="1"/>
  <c r="O405" s="1"/>
  <c r="K405" s="1"/>
  <c r="H405" s="1"/>
  <c r="R405"/>
  <c r="X405" s="1"/>
  <c r="Z405"/>
  <c r="B406"/>
  <c r="C406"/>
  <c r="G406"/>
  <c r="J406"/>
  <c r="L406"/>
  <c r="M406"/>
  <c r="N406" s="1"/>
  <c r="P406" s="1"/>
  <c r="O406" s="1"/>
  <c r="K406" s="1"/>
  <c r="H406" s="1"/>
  <c r="R406"/>
  <c r="X406" s="1"/>
  <c r="Z406"/>
  <c r="B407"/>
  <c r="C407"/>
  <c r="G407"/>
  <c r="J407"/>
  <c r="Z407" s="1"/>
  <c r="L407"/>
  <c r="M407"/>
  <c r="N407" s="1"/>
  <c r="P407" s="1"/>
  <c r="O407" s="1"/>
  <c r="K407" s="1"/>
  <c r="H407" s="1"/>
  <c r="R407"/>
  <c r="X407"/>
  <c r="B408"/>
  <c r="C408" s="1"/>
  <c r="G408"/>
  <c r="J408"/>
  <c r="L408"/>
  <c r="M408" s="1"/>
  <c r="N408" s="1"/>
  <c r="P408" s="1"/>
  <c r="O408" s="1"/>
  <c r="K408" s="1"/>
  <c r="H408" s="1"/>
  <c r="R408"/>
  <c r="X408"/>
  <c r="B409"/>
  <c r="C409" s="1"/>
  <c r="G409"/>
  <c r="J409"/>
  <c r="L409"/>
  <c r="M409" s="1"/>
  <c r="N409" s="1"/>
  <c r="P409" s="1"/>
  <c r="O409" s="1"/>
  <c r="K409" s="1"/>
  <c r="H409" s="1"/>
  <c r="R409"/>
  <c r="X409" s="1"/>
  <c r="Z409"/>
  <c r="B410"/>
  <c r="C410"/>
  <c r="G410"/>
  <c r="J410"/>
  <c r="L410"/>
  <c r="M410"/>
  <c r="N410" s="1"/>
  <c r="P410" s="1"/>
  <c r="O410" s="1"/>
  <c r="K410" s="1"/>
  <c r="H410" s="1"/>
  <c r="R410"/>
  <c r="X410" s="1"/>
  <c r="Z410"/>
  <c r="B411"/>
  <c r="C411"/>
  <c r="G411"/>
  <c r="J411"/>
  <c r="Z411" s="1"/>
  <c r="L411"/>
  <c r="M411"/>
  <c r="N411" s="1"/>
  <c r="P411" s="1"/>
  <c r="O411" s="1"/>
  <c r="K411" s="1"/>
  <c r="H411" s="1"/>
  <c r="R411"/>
  <c r="X411"/>
  <c r="B412"/>
  <c r="C412" s="1"/>
  <c r="G412"/>
  <c r="J412"/>
  <c r="L412"/>
  <c r="M412" s="1"/>
  <c r="N412" s="1"/>
  <c r="P412" s="1"/>
  <c r="O412" s="1"/>
  <c r="K412" s="1"/>
  <c r="H412" s="1"/>
  <c r="R412"/>
  <c r="X412"/>
  <c r="B413"/>
  <c r="C413" s="1"/>
  <c r="G413"/>
  <c r="J413"/>
  <c r="L413"/>
  <c r="M413" s="1"/>
  <c r="N413" s="1"/>
  <c r="P413" s="1"/>
  <c r="O413" s="1"/>
  <c r="K413" s="1"/>
  <c r="H413" s="1"/>
  <c r="R413"/>
  <c r="X413" s="1"/>
  <c r="Z413"/>
  <c r="B416"/>
  <c r="C416"/>
  <c r="G416"/>
  <c r="J416"/>
  <c r="Z416" s="1"/>
  <c r="R416"/>
  <c r="X416"/>
  <c r="B417"/>
  <c r="J417"/>
  <c r="R417"/>
  <c r="X417" s="1"/>
  <c r="Z417"/>
  <c r="B418"/>
  <c r="C418"/>
  <c r="G418"/>
  <c r="J418"/>
  <c r="Z418" s="1"/>
  <c r="R418"/>
  <c r="X418"/>
  <c r="B419"/>
  <c r="J419"/>
  <c r="R419"/>
  <c r="X419" s="1"/>
  <c r="B420"/>
  <c r="J420"/>
  <c r="R420"/>
  <c r="X420" s="1"/>
  <c r="B421"/>
  <c r="J421"/>
  <c r="R421"/>
  <c r="X421" s="1"/>
  <c r="B422"/>
  <c r="J422"/>
  <c r="R422"/>
  <c r="X422" s="1"/>
  <c r="B423"/>
  <c r="J423"/>
  <c r="R423"/>
  <c r="X423" s="1"/>
  <c r="B424"/>
  <c r="J424"/>
  <c r="R424"/>
  <c r="X424" s="1"/>
  <c r="B425"/>
  <c r="J425"/>
  <c r="R425"/>
  <c r="X425" s="1"/>
  <c r="B426"/>
  <c r="J426"/>
  <c r="R426"/>
  <c r="X426" s="1"/>
  <c r="B427"/>
  <c r="J427"/>
  <c r="R427"/>
  <c r="X427" s="1"/>
  <c r="B428"/>
  <c r="J428"/>
  <c r="R428"/>
  <c r="X428" s="1"/>
  <c r="B429"/>
  <c r="J429"/>
  <c r="R429"/>
  <c r="X429" s="1"/>
  <c r="B430"/>
  <c r="J430"/>
  <c r="R430"/>
  <c r="X430" s="1"/>
  <c r="B431"/>
  <c r="J431"/>
  <c r="R431"/>
  <c r="X431" s="1"/>
  <c r="B434"/>
  <c r="C434" s="1"/>
  <c r="J434"/>
  <c r="R434"/>
  <c r="X434" s="1"/>
  <c r="B435"/>
  <c r="C435" s="1"/>
  <c r="J435"/>
  <c r="Z435" s="1"/>
  <c r="R435"/>
  <c r="X435" s="1"/>
  <c r="B436"/>
  <c r="C436" s="1"/>
  <c r="J436"/>
  <c r="R436"/>
  <c r="X436" s="1"/>
  <c r="B437"/>
  <c r="C437" s="1"/>
  <c r="J437"/>
  <c r="Z437" s="1"/>
  <c r="R437"/>
  <c r="X437" s="1"/>
  <c r="B438"/>
  <c r="C438" s="1"/>
  <c r="J438"/>
  <c r="R438"/>
  <c r="X438" s="1"/>
  <c r="B439"/>
  <c r="C439" s="1"/>
  <c r="J439"/>
  <c r="Z439" s="1"/>
  <c r="R439"/>
  <c r="X439" s="1"/>
  <c r="B440"/>
  <c r="C440" s="1"/>
  <c r="J440"/>
  <c r="R440"/>
  <c r="X440" s="1"/>
  <c r="B441"/>
  <c r="C441" s="1"/>
  <c r="J441"/>
  <c r="Z441" s="1"/>
  <c r="R441"/>
  <c r="X441" s="1"/>
  <c r="B442"/>
  <c r="C442" s="1"/>
  <c r="J442"/>
  <c r="R442"/>
  <c r="X442" s="1"/>
  <c r="B443"/>
  <c r="C443" s="1"/>
  <c r="J443"/>
  <c r="Z443" s="1"/>
  <c r="R443"/>
  <c r="X443" s="1"/>
  <c r="B444"/>
  <c r="C444" s="1"/>
  <c r="J444"/>
  <c r="R444"/>
  <c r="X444" s="1"/>
  <c r="B445"/>
  <c r="C445" s="1"/>
  <c r="J445"/>
  <c r="Z445" s="1"/>
  <c r="R445"/>
  <c r="X445" s="1"/>
  <c r="B446"/>
  <c r="C446" s="1"/>
  <c r="J446"/>
  <c r="R446"/>
  <c r="X446" s="1"/>
  <c r="B447"/>
  <c r="C447" s="1"/>
  <c r="J447"/>
  <c r="Z447" s="1"/>
  <c r="R447"/>
  <c r="X447" s="1"/>
  <c r="B448"/>
  <c r="C448" s="1"/>
  <c r="J448"/>
  <c r="R448"/>
  <c r="X448" s="1"/>
  <c r="B449"/>
  <c r="C449" s="1"/>
  <c r="J449"/>
  <c r="Z449" s="1"/>
  <c r="R449"/>
  <c r="X449" s="1"/>
  <c r="B452"/>
  <c r="J452"/>
  <c r="R452"/>
  <c r="X452" s="1"/>
  <c r="B453"/>
  <c r="C453" s="1"/>
  <c r="J453"/>
  <c r="R453"/>
  <c r="X453" s="1"/>
  <c r="Z453"/>
  <c r="B454"/>
  <c r="J454"/>
  <c r="R454"/>
  <c r="X454"/>
  <c r="B455"/>
  <c r="C455"/>
  <c r="G455"/>
  <c r="J455"/>
  <c r="Z455" s="1"/>
  <c r="R455"/>
  <c r="X455"/>
  <c r="B456"/>
  <c r="C456" s="1"/>
  <c r="G456"/>
  <c r="J456"/>
  <c r="R456"/>
  <c r="X456" s="1"/>
  <c r="Z456"/>
  <c r="B457"/>
  <c r="C457" s="1"/>
  <c r="G457"/>
  <c r="J457"/>
  <c r="R457"/>
  <c r="X457" s="1"/>
  <c r="B458"/>
  <c r="C458" s="1"/>
  <c r="J458"/>
  <c r="R458"/>
  <c r="X458" s="1"/>
  <c r="Z458"/>
  <c r="B459"/>
  <c r="C459"/>
  <c r="G459"/>
  <c r="J459"/>
  <c r="Z459" s="1"/>
  <c r="R459"/>
  <c r="X459"/>
  <c r="B460"/>
  <c r="C460" s="1"/>
  <c r="G460"/>
  <c r="J460"/>
  <c r="R460"/>
  <c r="X460" s="1"/>
  <c r="Z460"/>
  <c r="B461"/>
  <c r="C461" s="1"/>
  <c r="G461"/>
  <c r="J461"/>
  <c r="R461"/>
  <c r="X461" s="1"/>
  <c r="B462"/>
  <c r="C462" s="1"/>
  <c r="J462"/>
  <c r="R462"/>
  <c r="X462" s="1"/>
  <c r="Z462"/>
  <c r="B463"/>
  <c r="C463"/>
  <c r="G463"/>
  <c r="J463"/>
  <c r="Z463" s="1"/>
  <c r="R463"/>
  <c r="X463"/>
  <c r="B464"/>
  <c r="C464" s="1"/>
  <c r="G464"/>
  <c r="J464"/>
  <c r="R464"/>
  <c r="X464" s="1"/>
  <c r="Z464"/>
  <c r="B465"/>
  <c r="C465" s="1"/>
  <c r="G465"/>
  <c r="J465"/>
  <c r="R465"/>
  <c r="X465" s="1"/>
  <c r="B466"/>
  <c r="C466" s="1"/>
  <c r="J466"/>
  <c r="R466"/>
  <c r="X466" s="1"/>
  <c r="Z466"/>
  <c r="B467"/>
  <c r="C467"/>
  <c r="G467"/>
  <c r="J467"/>
  <c r="Z467" s="1"/>
  <c r="R467"/>
  <c r="X467"/>
  <c r="B470"/>
  <c r="C470" s="1"/>
  <c r="G470"/>
  <c r="J470"/>
  <c r="L470"/>
  <c r="M470" s="1"/>
  <c r="N470" s="1"/>
  <c r="P470" s="1"/>
  <c r="O470" s="1"/>
  <c r="K470" s="1"/>
  <c r="H470" s="1"/>
  <c r="R470"/>
  <c r="X470" s="1"/>
  <c r="Z470"/>
  <c r="B471"/>
  <c r="C471"/>
  <c r="G471"/>
  <c r="J471"/>
  <c r="Z471" s="1"/>
  <c r="L471"/>
  <c r="M471" s="1"/>
  <c r="N471" s="1"/>
  <c r="P471" s="1"/>
  <c r="O471" s="1"/>
  <c r="K471" s="1"/>
  <c r="H471" s="1"/>
  <c r="R471"/>
  <c r="X471"/>
  <c r="B472"/>
  <c r="C472" s="1"/>
  <c r="G472"/>
  <c r="J472"/>
  <c r="L472"/>
  <c r="M472" s="1"/>
  <c r="N472" s="1"/>
  <c r="P472" s="1"/>
  <c r="O472" s="1"/>
  <c r="K472" s="1"/>
  <c r="H472" s="1"/>
  <c r="R472"/>
  <c r="X472" s="1"/>
  <c r="Z472"/>
  <c r="B473"/>
  <c r="C473"/>
  <c r="G473"/>
  <c r="J473"/>
  <c r="Z473" s="1"/>
  <c r="L473"/>
  <c r="M473"/>
  <c r="N473" s="1"/>
  <c r="P473" s="1"/>
  <c r="O473" s="1"/>
  <c r="K473" s="1"/>
  <c r="H473" s="1"/>
  <c r="R473"/>
  <c r="X473"/>
  <c r="B474"/>
  <c r="C474" s="1"/>
  <c r="G474"/>
  <c r="J474"/>
  <c r="L474"/>
  <c r="M474" s="1"/>
  <c r="N474" s="1"/>
  <c r="P474" s="1"/>
  <c r="O474" s="1"/>
  <c r="K474" s="1"/>
  <c r="H474" s="1"/>
  <c r="R474"/>
  <c r="X474" s="1"/>
  <c r="Z474"/>
  <c r="B475"/>
  <c r="C475"/>
  <c r="G475"/>
  <c r="J475"/>
  <c r="Z475" s="1"/>
  <c r="L475"/>
  <c r="M475"/>
  <c r="N475" s="1"/>
  <c r="P475" s="1"/>
  <c r="O475" s="1"/>
  <c r="K475" s="1"/>
  <c r="H475" s="1"/>
  <c r="R475"/>
  <c r="X475"/>
  <c r="B476"/>
  <c r="C476" s="1"/>
  <c r="G476"/>
  <c r="J476"/>
  <c r="L476"/>
  <c r="M476" s="1"/>
  <c r="N476" s="1"/>
  <c r="P476" s="1"/>
  <c r="O476" s="1"/>
  <c r="K476" s="1"/>
  <c r="H476" s="1"/>
  <c r="R476"/>
  <c r="X476" s="1"/>
  <c r="Z476"/>
  <c r="B477"/>
  <c r="C477"/>
  <c r="G477"/>
  <c r="J477"/>
  <c r="Z477" s="1"/>
  <c r="L477"/>
  <c r="M477"/>
  <c r="N477" s="1"/>
  <c r="P477" s="1"/>
  <c r="O477" s="1"/>
  <c r="K477" s="1"/>
  <c r="H477" s="1"/>
  <c r="R477"/>
  <c r="X477"/>
  <c r="B478"/>
  <c r="C478" s="1"/>
  <c r="G478"/>
  <c r="J478"/>
  <c r="L478"/>
  <c r="M478" s="1"/>
  <c r="N478" s="1"/>
  <c r="P478" s="1"/>
  <c r="O478" s="1"/>
  <c r="K478" s="1"/>
  <c r="H478" s="1"/>
  <c r="R478"/>
  <c r="X478" s="1"/>
  <c r="Z478"/>
  <c r="B479"/>
  <c r="C479"/>
  <c r="G479"/>
  <c r="J479"/>
  <c r="Z479" s="1"/>
  <c r="L479"/>
  <c r="M479"/>
  <c r="N479" s="1"/>
  <c r="P479" s="1"/>
  <c r="O479" s="1"/>
  <c r="K479" s="1"/>
  <c r="H479" s="1"/>
  <c r="R479"/>
  <c r="X479"/>
  <c r="B480"/>
  <c r="C480" s="1"/>
  <c r="G480"/>
  <c r="J480"/>
  <c r="L480"/>
  <c r="M480" s="1"/>
  <c r="N480" s="1"/>
  <c r="P480" s="1"/>
  <c r="O480" s="1"/>
  <c r="K480" s="1"/>
  <c r="H480" s="1"/>
  <c r="R480"/>
  <c r="X480" s="1"/>
  <c r="Z480"/>
  <c r="B481"/>
  <c r="C481"/>
  <c r="G481"/>
  <c r="J481"/>
  <c r="Z481" s="1"/>
  <c r="L481"/>
  <c r="M481"/>
  <c r="N481" s="1"/>
  <c r="P481" s="1"/>
  <c r="O481" s="1"/>
  <c r="K481" s="1"/>
  <c r="H481" s="1"/>
  <c r="R481"/>
  <c r="X481"/>
  <c r="B482"/>
  <c r="C482" s="1"/>
  <c r="G482"/>
  <c r="J482"/>
  <c r="L482"/>
  <c r="M482" s="1"/>
  <c r="N482" s="1"/>
  <c r="P482" s="1"/>
  <c r="O482" s="1"/>
  <c r="K482" s="1"/>
  <c r="H482" s="1"/>
  <c r="R482"/>
  <c r="X482" s="1"/>
  <c r="Z482"/>
  <c r="B483"/>
  <c r="C483"/>
  <c r="G483"/>
  <c r="J483"/>
  <c r="Z483" s="1"/>
  <c r="L483"/>
  <c r="M483"/>
  <c r="N483" s="1"/>
  <c r="P483" s="1"/>
  <c r="O483" s="1"/>
  <c r="K483" s="1"/>
  <c r="H483" s="1"/>
  <c r="R483"/>
  <c r="X483"/>
  <c r="B484"/>
  <c r="C484" s="1"/>
  <c r="G484"/>
  <c r="J484"/>
  <c r="L484"/>
  <c r="M484" s="1"/>
  <c r="N484" s="1"/>
  <c r="P484" s="1"/>
  <c r="O484" s="1"/>
  <c r="K484" s="1"/>
  <c r="H484" s="1"/>
  <c r="R484"/>
  <c r="X484" s="1"/>
  <c r="Z484"/>
  <c r="B485"/>
  <c r="C485"/>
  <c r="G485"/>
  <c r="J485"/>
  <c r="Z485" s="1"/>
  <c r="L485"/>
  <c r="M485"/>
  <c r="N485" s="1"/>
  <c r="P485" s="1"/>
  <c r="O485" s="1"/>
  <c r="K485" s="1"/>
  <c r="H485" s="1"/>
  <c r="R485"/>
  <c r="X485"/>
  <c r="B488"/>
  <c r="C488" s="1"/>
  <c r="G488"/>
  <c r="J488"/>
  <c r="R488"/>
  <c r="X488" s="1"/>
  <c r="Z488"/>
  <c r="B489"/>
  <c r="C489" s="1"/>
  <c r="J489"/>
  <c r="R489"/>
  <c r="X489" s="1"/>
  <c r="B490"/>
  <c r="C490" s="1"/>
  <c r="J490"/>
  <c r="R490"/>
  <c r="X490" s="1"/>
  <c r="Z490"/>
  <c r="B491"/>
  <c r="C491" s="1"/>
  <c r="J491"/>
  <c r="R491"/>
  <c r="X491" s="1"/>
  <c r="B492"/>
  <c r="C492" s="1"/>
  <c r="J492"/>
  <c r="R492"/>
  <c r="X492" s="1"/>
  <c r="B493"/>
  <c r="C493" s="1"/>
  <c r="J493"/>
  <c r="R493"/>
  <c r="X493" s="1"/>
  <c r="B494"/>
  <c r="C494" s="1"/>
  <c r="J494"/>
  <c r="R494"/>
  <c r="X494" s="1"/>
  <c r="B495"/>
  <c r="C495" s="1"/>
  <c r="J495"/>
  <c r="R495"/>
  <c r="X495" s="1"/>
  <c r="B496"/>
  <c r="C496" s="1"/>
  <c r="J496"/>
  <c r="R496"/>
  <c r="X496" s="1"/>
  <c r="B497"/>
  <c r="C497" s="1"/>
  <c r="J497"/>
  <c r="R497"/>
  <c r="X497" s="1"/>
  <c r="B498"/>
  <c r="C498" s="1"/>
  <c r="J498"/>
  <c r="R498"/>
  <c r="X498" s="1"/>
  <c r="B499"/>
  <c r="C499" s="1"/>
  <c r="J499"/>
  <c r="R499"/>
  <c r="X499" s="1"/>
  <c r="B500"/>
  <c r="C500" s="1"/>
  <c r="J500"/>
  <c r="R500"/>
  <c r="X500" s="1"/>
  <c r="B501"/>
  <c r="C501" s="1"/>
  <c r="J501"/>
  <c r="R501"/>
  <c r="X501" s="1"/>
  <c r="B502"/>
  <c r="C502" s="1"/>
  <c r="J502"/>
  <c r="R502"/>
  <c r="X502" s="1"/>
  <c r="B503"/>
  <c r="C503" s="1"/>
  <c r="J503"/>
  <c r="R503"/>
  <c r="X503" s="1"/>
  <c r="B506"/>
  <c r="C506" s="1"/>
  <c r="J506"/>
  <c r="Z506" s="1"/>
  <c r="R506"/>
  <c r="X506" s="1"/>
  <c r="B507"/>
  <c r="C507" s="1"/>
  <c r="J507"/>
  <c r="Z507" s="1"/>
  <c r="R507"/>
  <c r="X507" s="1"/>
  <c r="B508"/>
  <c r="C508" s="1"/>
  <c r="J508"/>
  <c r="Z508" s="1"/>
  <c r="R508"/>
  <c r="X508" s="1"/>
  <c r="B509"/>
  <c r="C509" s="1"/>
  <c r="J509"/>
  <c r="Z509" s="1"/>
  <c r="R509"/>
  <c r="X509" s="1"/>
  <c r="B510"/>
  <c r="C510" s="1"/>
  <c r="J510"/>
  <c r="Z510" s="1"/>
  <c r="R510"/>
  <c r="X510" s="1"/>
  <c r="B511"/>
  <c r="C511" s="1"/>
  <c r="J511"/>
  <c r="Z511" s="1"/>
  <c r="R511"/>
  <c r="X511" s="1"/>
  <c r="B512"/>
  <c r="C512" s="1"/>
  <c r="J512"/>
  <c r="Z512" s="1"/>
  <c r="R512"/>
  <c r="X512" s="1"/>
  <c r="B513"/>
  <c r="C513" s="1"/>
  <c r="J513"/>
  <c r="Z513" s="1"/>
  <c r="R513"/>
  <c r="X513" s="1"/>
  <c r="B514"/>
  <c r="C514" s="1"/>
  <c r="J514"/>
  <c r="Z514" s="1"/>
  <c r="R514"/>
  <c r="X514" s="1"/>
  <c r="B515"/>
  <c r="C515" s="1"/>
  <c r="J515"/>
  <c r="Z515" s="1"/>
  <c r="R515"/>
  <c r="X515" s="1"/>
  <c r="B516"/>
  <c r="C516" s="1"/>
  <c r="J516"/>
  <c r="Z516" s="1"/>
  <c r="R516"/>
  <c r="X516" s="1"/>
  <c r="B517"/>
  <c r="C517" s="1"/>
  <c r="J517"/>
  <c r="Z517" s="1"/>
  <c r="R517"/>
  <c r="X517" s="1"/>
  <c r="B518"/>
  <c r="C518" s="1"/>
  <c r="J518"/>
  <c r="Z518" s="1"/>
  <c r="R518"/>
  <c r="X518" s="1"/>
  <c r="B519"/>
  <c r="C519" s="1"/>
  <c r="J519"/>
  <c r="Z519" s="1"/>
  <c r="R519"/>
  <c r="X519" s="1"/>
  <c r="B520"/>
  <c r="C520" s="1"/>
  <c r="J520"/>
  <c r="Z520" s="1"/>
  <c r="R520"/>
  <c r="X520" s="1"/>
  <c r="B521"/>
  <c r="C521" s="1"/>
  <c r="J521"/>
  <c r="Z521" s="1"/>
  <c r="R521"/>
  <c r="X521" s="1"/>
  <c r="B524"/>
  <c r="C524" s="1"/>
  <c r="J524"/>
  <c r="R524"/>
  <c r="X524" s="1"/>
  <c r="B525"/>
  <c r="C525" s="1"/>
  <c r="J525"/>
  <c r="R525"/>
  <c r="X525" s="1"/>
  <c r="Z525"/>
  <c r="B526"/>
  <c r="C526" s="1"/>
  <c r="J526"/>
  <c r="Z526" s="1"/>
  <c r="R526"/>
  <c r="X526"/>
  <c r="B527"/>
  <c r="C527" s="1"/>
  <c r="G527"/>
  <c r="J527"/>
  <c r="R527"/>
  <c r="X527" s="1"/>
  <c r="B528"/>
  <c r="C528" s="1"/>
  <c r="J528"/>
  <c r="R528"/>
  <c r="X528"/>
  <c r="B529"/>
  <c r="C529" s="1"/>
  <c r="G529"/>
  <c r="J529"/>
  <c r="R529"/>
  <c r="X529" s="1"/>
  <c r="Z529"/>
  <c r="B530"/>
  <c r="G530" s="1"/>
  <c r="J530"/>
  <c r="R530"/>
  <c r="X530" s="1"/>
  <c r="B531"/>
  <c r="C531" s="1"/>
  <c r="J531"/>
  <c r="R531"/>
  <c r="X531" s="1"/>
  <c r="Z531"/>
  <c r="B532"/>
  <c r="C532"/>
  <c r="G532"/>
  <c r="J532"/>
  <c r="Z532" s="1"/>
  <c r="R532"/>
  <c r="X532"/>
  <c r="B533"/>
  <c r="C533" s="1"/>
  <c r="G533"/>
  <c r="J533"/>
  <c r="R533"/>
  <c r="X533" s="1"/>
  <c r="Z533"/>
  <c r="B534"/>
  <c r="C534" s="1"/>
  <c r="G534"/>
  <c r="J534"/>
  <c r="R534"/>
  <c r="X534" s="1"/>
  <c r="B535"/>
  <c r="C535" s="1"/>
  <c r="J535"/>
  <c r="R535"/>
  <c r="X535" s="1"/>
  <c r="Z535"/>
  <c r="B536"/>
  <c r="C536"/>
  <c r="G536"/>
  <c r="J536"/>
  <c r="Z536" s="1"/>
  <c r="R536"/>
  <c r="X536"/>
  <c r="B537"/>
  <c r="C537" s="1"/>
  <c r="G537"/>
  <c r="J537"/>
  <c r="R537"/>
  <c r="X537" s="1"/>
  <c r="Z537"/>
  <c r="B538"/>
  <c r="C538" s="1"/>
  <c r="G538"/>
  <c r="J538"/>
  <c r="R538"/>
  <c r="X538" s="1"/>
  <c r="B539"/>
  <c r="C539" s="1"/>
  <c r="J539"/>
  <c r="R539"/>
  <c r="X539" s="1"/>
  <c r="Z539"/>
  <c r="B542"/>
  <c r="C542"/>
  <c r="G542"/>
  <c r="J542"/>
  <c r="Z542" s="1"/>
  <c r="L542"/>
  <c r="M542" s="1"/>
  <c r="N542" s="1"/>
  <c r="P542" s="1"/>
  <c r="O542" s="1"/>
  <c r="K542" s="1"/>
  <c r="H542" s="1"/>
  <c r="R542"/>
  <c r="X542"/>
  <c r="B543"/>
  <c r="C543" s="1"/>
  <c r="G543"/>
  <c r="J543"/>
  <c r="L543"/>
  <c r="M543" s="1"/>
  <c r="N543" s="1"/>
  <c r="P543" s="1"/>
  <c r="O543" s="1"/>
  <c r="K543" s="1"/>
  <c r="H543" s="1"/>
  <c r="R543"/>
  <c r="X543" s="1"/>
  <c r="Z543"/>
  <c r="B544"/>
  <c r="C544"/>
  <c r="G544"/>
  <c r="J544"/>
  <c r="Z544" s="1"/>
  <c r="L544"/>
  <c r="M544" s="1"/>
  <c r="N544" s="1"/>
  <c r="P544" s="1"/>
  <c r="O544" s="1"/>
  <c r="K544" s="1"/>
  <c r="H544" s="1"/>
  <c r="R544"/>
  <c r="X544"/>
  <c r="B545"/>
  <c r="C545" s="1"/>
  <c r="G545"/>
  <c r="J545"/>
  <c r="L545"/>
  <c r="M545" s="1"/>
  <c r="N545" s="1"/>
  <c r="P545" s="1"/>
  <c r="O545" s="1"/>
  <c r="K545" s="1"/>
  <c r="H545" s="1"/>
  <c r="R545"/>
  <c r="X545" s="1"/>
  <c r="Z545"/>
  <c r="B546"/>
  <c r="C546"/>
  <c r="G546"/>
  <c r="J546"/>
  <c r="Z546" s="1"/>
  <c r="L546"/>
  <c r="M546"/>
  <c r="N546" s="1"/>
  <c r="P546" s="1"/>
  <c r="O546" s="1"/>
  <c r="K546" s="1"/>
  <c r="H546" s="1"/>
  <c r="R546"/>
  <c r="X546"/>
  <c r="B547"/>
  <c r="C547" s="1"/>
  <c r="G547"/>
  <c r="J547"/>
  <c r="L547"/>
  <c r="M547" s="1"/>
  <c r="N547" s="1"/>
  <c r="P547" s="1"/>
  <c r="O547" s="1"/>
  <c r="K547" s="1"/>
  <c r="H547" s="1"/>
  <c r="R547"/>
  <c r="X547" s="1"/>
  <c r="Z547"/>
  <c r="B548"/>
  <c r="C548"/>
  <c r="G548"/>
  <c r="J548"/>
  <c r="Z548" s="1"/>
  <c r="L548"/>
  <c r="M548"/>
  <c r="N548" s="1"/>
  <c r="P548" s="1"/>
  <c r="O548" s="1"/>
  <c r="K548" s="1"/>
  <c r="H548" s="1"/>
  <c r="R548"/>
  <c r="X548"/>
  <c r="B549"/>
  <c r="C549" s="1"/>
  <c r="G549"/>
  <c r="J549"/>
  <c r="L549"/>
  <c r="M549" s="1"/>
  <c r="N549" s="1"/>
  <c r="P549" s="1"/>
  <c r="O549" s="1"/>
  <c r="K549" s="1"/>
  <c r="H549" s="1"/>
  <c r="R549"/>
  <c r="X549" s="1"/>
  <c r="Z549"/>
  <c r="B550"/>
  <c r="C550"/>
  <c r="G550"/>
  <c r="J550"/>
  <c r="Z550" s="1"/>
  <c r="L550"/>
  <c r="M550"/>
  <c r="N550" s="1"/>
  <c r="P550" s="1"/>
  <c r="O550" s="1"/>
  <c r="K550" s="1"/>
  <c r="H550" s="1"/>
  <c r="R550"/>
  <c r="X550"/>
  <c r="B551"/>
  <c r="C551" s="1"/>
  <c r="G551"/>
  <c r="L551" s="1"/>
  <c r="M551" s="1"/>
  <c r="N551" s="1"/>
  <c r="P551" s="1"/>
  <c r="O551" s="1"/>
  <c r="K551" s="1"/>
  <c r="H551" s="1"/>
  <c r="J551"/>
  <c r="R551"/>
  <c r="X551" s="1"/>
  <c r="Z551"/>
  <c r="B552"/>
  <c r="C552"/>
  <c r="G552"/>
  <c r="L552" s="1"/>
  <c r="M552" s="1"/>
  <c r="N552" s="1"/>
  <c r="P552" s="1"/>
  <c r="O552" s="1"/>
  <c r="K552" s="1"/>
  <c r="H552" s="1"/>
  <c r="J552"/>
  <c r="Z552" s="1"/>
  <c r="R552"/>
  <c r="X552"/>
  <c r="B553"/>
  <c r="C553" s="1"/>
  <c r="G553"/>
  <c r="J553"/>
  <c r="L553"/>
  <c r="M553" s="1"/>
  <c r="N553" s="1"/>
  <c r="P553" s="1"/>
  <c r="O553" s="1"/>
  <c r="K553" s="1"/>
  <c r="H553" s="1"/>
  <c r="R553"/>
  <c r="X553" s="1"/>
  <c r="Z553"/>
  <c r="B554"/>
  <c r="C554"/>
  <c r="G554"/>
  <c r="J554"/>
  <c r="Z554" s="1"/>
  <c r="L554"/>
  <c r="M554" s="1"/>
  <c r="N554" s="1"/>
  <c r="P554" s="1"/>
  <c r="O554" s="1"/>
  <c r="K554" s="1"/>
  <c r="H554" s="1"/>
  <c r="R554"/>
  <c r="X554"/>
  <c r="B555"/>
  <c r="C555" s="1"/>
  <c r="G555"/>
  <c r="J555"/>
  <c r="L555"/>
  <c r="M555" s="1"/>
  <c r="N555" s="1"/>
  <c r="P555" s="1"/>
  <c r="O555" s="1"/>
  <c r="K555" s="1"/>
  <c r="H555" s="1"/>
  <c r="R555"/>
  <c r="X555" s="1"/>
  <c r="Z555"/>
  <c r="B556"/>
  <c r="C556"/>
  <c r="G556"/>
  <c r="J556"/>
  <c r="Z556" s="1"/>
  <c r="L556"/>
  <c r="M556"/>
  <c r="N556" s="1"/>
  <c r="P556" s="1"/>
  <c r="O556" s="1"/>
  <c r="K556" s="1"/>
  <c r="H556" s="1"/>
  <c r="R556"/>
  <c r="X556"/>
  <c r="B557"/>
  <c r="C557" s="1"/>
  <c r="G557"/>
  <c r="J557"/>
  <c r="L557"/>
  <c r="M557" s="1"/>
  <c r="N557" s="1"/>
  <c r="P557" s="1"/>
  <c r="O557" s="1"/>
  <c r="K557" s="1"/>
  <c r="H557" s="1"/>
  <c r="R557"/>
  <c r="X557" s="1"/>
  <c r="Z557"/>
  <c r="B560"/>
  <c r="C560"/>
  <c r="G560"/>
  <c r="J560"/>
  <c r="Z560" s="1"/>
  <c r="R560"/>
  <c r="X560"/>
  <c r="B561"/>
  <c r="C561" s="1"/>
  <c r="J561"/>
  <c r="R561"/>
  <c r="X561" s="1"/>
  <c r="Z561"/>
  <c r="B562"/>
  <c r="C562"/>
  <c r="G562"/>
  <c r="J562"/>
  <c r="Z562" s="1"/>
  <c r="R562"/>
  <c r="X562"/>
  <c r="B563"/>
  <c r="C563" s="1"/>
  <c r="J563"/>
  <c r="R563"/>
  <c r="X563" s="1"/>
  <c r="B564"/>
  <c r="C564" s="1"/>
  <c r="J564"/>
  <c r="R564"/>
  <c r="X564" s="1"/>
  <c r="B565"/>
  <c r="C565" s="1"/>
  <c r="J565"/>
  <c r="R565"/>
  <c r="X565" s="1"/>
  <c r="B566"/>
  <c r="C566" s="1"/>
  <c r="J566"/>
  <c r="R566"/>
  <c r="X566" s="1"/>
  <c r="B567"/>
  <c r="C567" s="1"/>
  <c r="J567"/>
  <c r="R567"/>
  <c r="X567" s="1"/>
  <c r="B568"/>
  <c r="C568" s="1"/>
  <c r="J568"/>
  <c r="R568"/>
  <c r="X568" s="1"/>
  <c r="B569"/>
  <c r="C569" s="1"/>
  <c r="J569"/>
  <c r="R569"/>
  <c r="X569" s="1"/>
  <c r="B570"/>
  <c r="C570" s="1"/>
  <c r="J570"/>
  <c r="R570"/>
  <c r="X570" s="1"/>
  <c r="B571"/>
  <c r="C571" s="1"/>
  <c r="J571"/>
  <c r="R571"/>
  <c r="X571" s="1"/>
  <c r="B572"/>
  <c r="C572" s="1"/>
  <c r="J572"/>
  <c r="R572"/>
  <c r="X572" s="1"/>
  <c r="B573"/>
  <c r="C573" s="1"/>
  <c r="J573"/>
  <c r="R573"/>
  <c r="X573" s="1"/>
  <c r="B574"/>
  <c r="C574" s="1"/>
  <c r="J574"/>
  <c r="R574"/>
  <c r="X574" s="1"/>
  <c r="B575"/>
  <c r="C575" s="1"/>
  <c r="J575"/>
  <c r="R575"/>
  <c r="X575" s="1"/>
  <c r="B578"/>
  <c r="C578" s="1"/>
  <c r="J578"/>
  <c r="R578"/>
  <c r="X578" s="1"/>
  <c r="B579"/>
  <c r="C579" s="1"/>
  <c r="G579"/>
  <c r="J579"/>
  <c r="Z579" s="1"/>
  <c r="L579"/>
  <c r="R579"/>
  <c r="X579" s="1"/>
  <c r="B580"/>
  <c r="C580" s="1"/>
  <c r="J580"/>
  <c r="R580"/>
  <c r="X580" s="1"/>
  <c r="B581"/>
  <c r="C581" s="1"/>
  <c r="G581"/>
  <c r="J581"/>
  <c r="Z581" s="1"/>
  <c r="L581"/>
  <c r="R581"/>
  <c r="X581" s="1"/>
  <c r="B582"/>
  <c r="C582" s="1"/>
  <c r="J582"/>
  <c r="R582"/>
  <c r="X582" s="1"/>
  <c r="B583"/>
  <c r="C583" s="1"/>
  <c r="G583"/>
  <c r="J583"/>
  <c r="Z583" s="1"/>
  <c r="L583"/>
  <c r="R583"/>
  <c r="X583" s="1"/>
  <c r="B584"/>
  <c r="C584" s="1"/>
  <c r="J584"/>
  <c r="R584"/>
  <c r="X584" s="1"/>
  <c r="B585"/>
  <c r="C585" s="1"/>
  <c r="G585"/>
  <c r="J585"/>
  <c r="Z585" s="1"/>
  <c r="L585"/>
  <c r="R585"/>
  <c r="X585" s="1"/>
  <c r="B586"/>
  <c r="C586" s="1"/>
  <c r="J586"/>
  <c r="R586"/>
  <c r="X586" s="1"/>
  <c r="B587"/>
  <c r="C587" s="1"/>
  <c r="G587"/>
  <c r="J587"/>
  <c r="Z587" s="1"/>
  <c r="L587"/>
  <c r="R587"/>
  <c r="X587" s="1"/>
  <c r="B588"/>
  <c r="C588" s="1"/>
  <c r="J588"/>
  <c r="R588"/>
  <c r="X588" s="1"/>
  <c r="B589"/>
  <c r="C589" s="1"/>
  <c r="G589"/>
  <c r="J589"/>
  <c r="Z589" s="1"/>
  <c r="L589"/>
  <c r="R589"/>
  <c r="X589" s="1"/>
  <c r="B590"/>
  <c r="C590" s="1"/>
  <c r="J590"/>
  <c r="R590"/>
  <c r="X590" s="1"/>
  <c r="B591"/>
  <c r="C591" s="1"/>
  <c r="G591"/>
  <c r="J591"/>
  <c r="Z591" s="1"/>
  <c r="L591"/>
  <c r="R591"/>
  <c r="X591" s="1"/>
  <c r="B592"/>
  <c r="C592" s="1"/>
  <c r="J592"/>
  <c r="R592"/>
  <c r="X592" s="1"/>
  <c r="B593"/>
  <c r="C593" s="1"/>
  <c r="G593"/>
  <c r="L593" s="1"/>
  <c r="J593"/>
  <c r="Z593" s="1"/>
  <c r="R593"/>
  <c r="X593" s="1"/>
  <c r="M2" i="3"/>
  <c r="T2" i="6" s="1"/>
  <c r="O2" i="3"/>
  <c r="P2"/>
  <c r="M3"/>
  <c r="T3" i="6" s="1"/>
  <c r="O3" i="3"/>
  <c r="P3"/>
  <c r="M4"/>
  <c r="T4" i="6" s="1"/>
  <c r="O4" i="3"/>
  <c r="P4"/>
  <c r="M5"/>
  <c r="T5" i="6" s="1"/>
  <c r="O5" i="3"/>
  <c r="P5"/>
  <c r="M6"/>
  <c r="T6" i="6" s="1"/>
  <c r="O6" i="3"/>
  <c r="P6"/>
  <c r="M7"/>
  <c r="T7" i="6" s="1"/>
  <c r="O7" i="3"/>
  <c r="P7"/>
  <c r="M8"/>
  <c r="T8" i="6" s="1"/>
  <c r="O8" i="3"/>
  <c r="P8"/>
  <c r="M9"/>
  <c r="T9" i="6" s="1"/>
  <c r="O9" i="3"/>
  <c r="P9"/>
  <c r="C10"/>
  <c r="M10"/>
  <c r="T10" i="6" s="1"/>
  <c r="O10" i="3"/>
  <c r="P10"/>
  <c r="C11"/>
  <c r="M11"/>
  <c r="T11" i="6" s="1"/>
  <c r="O11" i="3"/>
  <c r="P11"/>
  <c r="C12"/>
  <c r="M12"/>
  <c r="T12" i="6" s="1"/>
  <c r="O12" i="3"/>
  <c r="P12"/>
  <c r="C13"/>
  <c r="M13"/>
  <c r="T13" i="6" s="1"/>
  <c r="O13" i="3"/>
  <c r="P13"/>
  <c r="C14"/>
  <c r="M14"/>
  <c r="T14" i="6" s="1"/>
  <c r="O14" i="3"/>
  <c r="P14"/>
  <c r="C15"/>
  <c r="M15"/>
  <c r="T15" i="6" s="1"/>
  <c r="O15" i="3"/>
  <c r="P15"/>
  <c r="C16"/>
  <c r="M16"/>
  <c r="T16" i="6" s="1"/>
  <c r="O16" i="3"/>
  <c r="P16"/>
  <c r="C17"/>
  <c r="M17"/>
  <c r="T17" i="6" s="1"/>
  <c r="O17" i="3"/>
  <c r="P17"/>
  <c r="M18"/>
  <c r="T18" i="6" s="1"/>
  <c r="O18" i="3"/>
  <c r="P18"/>
  <c r="M19"/>
  <c r="T19" i="6" s="1"/>
  <c r="O19" i="3"/>
  <c r="P19"/>
  <c r="M20"/>
  <c r="T20" i="6" s="1"/>
  <c r="O20" i="3"/>
  <c r="P20"/>
  <c r="M21"/>
  <c r="T21" i="6" s="1"/>
  <c r="O21" i="3"/>
  <c r="P21"/>
  <c r="M22"/>
  <c r="T22" i="6" s="1"/>
  <c r="O22" i="3"/>
  <c r="P22"/>
  <c r="M23"/>
  <c r="T23" i="6" s="1"/>
  <c r="O23" i="3"/>
  <c r="P23"/>
  <c r="M24"/>
  <c r="T24" i="6" s="1"/>
  <c r="O24" i="3"/>
  <c r="P24"/>
  <c r="M25"/>
  <c r="T25" i="6" s="1"/>
  <c r="O25" i="3"/>
  <c r="P25"/>
  <c r="B29"/>
  <c r="B30"/>
  <c r="B31"/>
  <c r="B32"/>
  <c r="K34"/>
  <c r="J35"/>
  <c r="J36"/>
  <c r="K36"/>
  <c r="A58"/>
  <c r="N34" s="1"/>
  <c r="A60"/>
  <c r="N36" s="1"/>
  <c r="B63"/>
  <c r="B29" i="6" s="1"/>
  <c r="C63" i="3"/>
  <c r="B81" i="6" s="1"/>
  <c r="D63" i="3"/>
  <c r="B55" i="6" s="1"/>
  <c r="E63" i="3"/>
  <c r="B107" i="6" s="1"/>
  <c r="F63" i="3"/>
  <c r="B133" i="6" s="1"/>
  <c r="G63" i="3"/>
  <c r="B185" i="6" s="1"/>
  <c r="H63" i="3"/>
  <c r="B159" i="6" s="1"/>
  <c r="I63" i="3"/>
  <c r="B211" i="6" s="1"/>
  <c r="J63" i="3"/>
  <c r="B237" i="6" s="1"/>
  <c r="K63" i="3"/>
  <c r="B289" i="6" s="1"/>
  <c r="L63" i="3"/>
  <c r="B263" i="6" s="1"/>
  <c r="M63" i="3"/>
  <c r="B315" i="6" s="1"/>
  <c r="N63" i="3"/>
  <c r="B341" i="6" s="1"/>
  <c r="O63" i="3"/>
  <c r="B393" i="6" s="1"/>
  <c r="P63" i="3"/>
  <c r="B367" i="6" s="1"/>
  <c r="Q63" i="3"/>
  <c r="B419" i="6" s="1"/>
  <c r="B90" i="3"/>
  <c r="B445" i="6" s="1"/>
  <c r="C90" i="3"/>
  <c r="B497" i="6" s="1"/>
  <c r="D90" i="3"/>
  <c r="B471" i="6" s="1"/>
  <c r="E90" i="3"/>
  <c r="B523" i="6" s="1"/>
  <c r="F90" i="3"/>
  <c r="B549" i="6" s="1"/>
  <c r="G90" i="3"/>
  <c r="B601" i="6" s="1"/>
  <c r="H90" i="3"/>
  <c r="B575" i="6" s="1"/>
  <c r="I90" i="3"/>
  <c r="B627" i="6" s="1"/>
  <c r="J90" i="3"/>
  <c r="B653" i="6" s="1"/>
  <c r="K90" i="3"/>
  <c r="B705" i="6" s="1"/>
  <c r="L90" i="3"/>
  <c r="B679" i="6" s="1"/>
  <c r="M90" i="3"/>
  <c r="B731" i="6" s="1"/>
  <c r="N90" i="3"/>
  <c r="B757" i="6" s="1"/>
  <c r="O90" i="3"/>
  <c r="B809" i="6" s="1"/>
  <c r="P90" i="3"/>
  <c r="B783" i="6" s="1"/>
  <c r="Q90" i="3"/>
  <c r="B835" i="6" s="1"/>
  <c r="J3" i="2"/>
  <c r="T2" i="5" s="1"/>
  <c r="L3" i="2"/>
  <c r="M3"/>
  <c r="J4"/>
  <c r="T3" i="5" s="1"/>
  <c r="L4" i="2"/>
  <c r="M4"/>
  <c r="J5"/>
  <c r="T4" i="5" s="1"/>
  <c r="L5" i="2"/>
  <c r="M5"/>
  <c r="J6"/>
  <c r="T5" i="5" s="1"/>
  <c r="L6" i="2"/>
  <c r="M6"/>
  <c r="J7"/>
  <c r="T6" i="5" s="1"/>
  <c r="L7" i="2"/>
  <c r="M7"/>
  <c r="J8"/>
  <c r="T7" i="5" s="1"/>
  <c r="L8" i="2"/>
  <c r="M8"/>
  <c r="J9"/>
  <c r="T8" i="5" s="1"/>
  <c r="L9" i="2"/>
  <c r="M9"/>
  <c r="J10"/>
  <c r="T9" i="5" s="1"/>
  <c r="L10" i="2"/>
  <c r="M10"/>
  <c r="J11"/>
  <c r="T10" i="5" s="1"/>
  <c r="L11" i="2"/>
  <c r="M11"/>
  <c r="J12"/>
  <c r="T11" i="5" s="1"/>
  <c r="L12" i="2"/>
  <c r="M12"/>
  <c r="J13"/>
  <c r="T12" i="5" s="1"/>
  <c r="L13" i="2"/>
  <c r="M13"/>
  <c r="J14"/>
  <c r="T13" i="5" s="1"/>
  <c r="L14" i="2"/>
  <c r="M14"/>
  <c r="J15"/>
  <c r="T14" i="5" s="1"/>
  <c r="L15" i="2"/>
  <c r="M15"/>
  <c r="J16"/>
  <c r="T15" i="5" s="1"/>
  <c r="L16" i="2"/>
  <c r="M16"/>
  <c r="J17"/>
  <c r="T16" i="5" s="1"/>
  <c r="L17" i="2"/>
  <c r="M17"/>
  <c r="J18"/>
  <c r="T17" i="5" s="1"/>
  <c r="L18" i="2"/>
  <c r="M18"/>
  <c r="E27"/>
  <c r="E28"/>
  <c r="E29"/>
  <c r="E30"/>
  <c r="E32"/>
  <c r="E33"/>
  <c r="E34"/>
  <c r="E35"/>
  <c r="E37"/>
  <c r="E38"/>
  <c r="E39"/>
  <c r="E40"/>
  <c r="E42"/>
  <c r="E43"/>
  <c r="E44"/>
  <c r="E45"/>
  <c r="B94"/>
  <c r="C94"/>
  <c r="D94"/>
  <c r="E94"/>
  <c r="F94"/>
  <c r="G94"/>
  <c r="H94"/>
  <c r="B127" i="5" s="1"/>
  <c r="I94" i="2"/>
  <c r="B145" i="5" s="1"/>
  <c r="J94" i="2"/>
  <c r="B163" i="5" s="1"/>
  <c r="K94" i="2"/>
  <c r="B181" i="5" s="1"/>
  <c r="L94" i="2"/>
  <c r="B199" i="5" s="1"/>
  <c r="M94" i="2"/>
  <c r="B217" i="5" s="1"/>
  <c r="N94" i="2"/>
  <c r="B235" i="5" s="1"/>
  <c r="O94" i="2"/>
  <c r="B253" i="5" s="1"/>
  <c r="P94" i="2"/>
  <c r="B271" i="5" s="1"/>
  <c r="Q94" i="2"/>
  <c r="B289" i="5" s="1"/>
  <c r="B112" i="2"/>
  <c r="B307" i="5" s="1"/>
  <c r="C112" i="2"/>
  <c r="B325" i="5" s="1"/>
  <c r="D112" i="2"/>
  <c r="B343" i="5" s="1"/>
  <c r="E112" i="2"/>
  <c r="B361" i="5" s="1"/>
  <c r="F112" i="2"/>
  <c r="B379" i="5" s="1"/>
  <c r="G112" i="2"/>
  <c r="B397" i="5" s="1"/>
  <c r="H112" i="2"/>
  <c r="B415" i="5" s="1"/>
  <c r="I112" i="2"/>
  <c r="B433" i="5" s="1"/>
  <c r="J112" i="2"/>
  <c r="B451" i="5" s="1"/>
  <c r="K112" i="2"/>
  <c r="B469" i="5" s="1"/>
  <c r="L112" i="2"/>
  <c r="B487" i="5" s="1"/>
  <c r="M112" i="2"/>
  <c r="B505" i="5" s="1"/>
  <c r="N112" i="2"/>
  <c r="B523" i="5" s="1"/>
  <c r="O112" i="2"/>
  <c r="B541" i="5" s="1"/>
  <c r="P112" i="2"/>
  <c r="B559" i="5" s="1"/>
  <c r="Q112" i="2"/>
  <c r="B577" i="5" s="1"/>
  <c r="B4" i="4"/>
  <c r="D4"/>
  <c r="G4"/>
  <c r="I4"/>
  <c r="B5"/>
  <c r="D5"/>
  <c r="G5"/>
  <c r="I5"/>
  <c r="B6"/>
  <c r="D6"/>
  <c r="G6"/>
  <c r="I6"/>
  <c r="B7"/>
  <c r="D7"/>
  <c r="G7"/>
  <c r="I7"/>
  <c r="B8"/>
  <c r="D8"/>
  <c r="G8"/>
  <c r="I8"/>
  <c r="B9"/>
  <c r="D9"/>
  <c r="G9"/>
  <c r="I9"/>
  <c r="B10"/>
  <c r="D10"/>
  <c r="G10"/>
  <c r="I10"/>
  <c r="B11"/>
  <c r="D11"/>
  <c r="G11"/>
  <c r="I11"/>
  <c r="B12"/>
  <c r="D12"/>
  <c r="G12"/>
  <c r="I12"/>
  <c r="B13"/>
  <c r="D13"/>
  <c r="G13"/>
  <c r="I13"/>
  <c r="B14"/>
  <c r="D14"/>
  <c r="G14"/>
  <c r="I14"/>
  <c r="B15"/>
  <c r="D15"/>
  <c r="G15"/>
  <c r="I15"/>
  <c r="B16"/>
  <c r="D16"/>
  <c r="G16"/>
  <c r="I16"/>
  <c r="B17"/>
  <c r="D17"/>
  <c r="G17"/>
  <c r="I17"/>
  <c r="B18"/>
  <c r="D18"/>
  <c r="G18"/>
  <c r="I18"/>
  <c r="B19"/>
  <c r="D19"/>
  <c r="G19"/>
  <c r="I19"/>
  <c r="G20"/>
  <c r="I20"/>
  <c r="G21"/>
  <c r="I21"/>
  <c r="G22"/>
  <c r="I22"/>
  <c r="G23"/>
  <c r="I23"/>
  <c r="G24"/>
  <c r="I24"/>
  <c r="G25"/>
  <c r="I25"/>
  <c r="G26"/>
  <c r="I26"/>
  <c r="G27"/>
  <c r="I27"/>
  <c r="D95" i="5"/>
  <c r="D107"/>
  <c r="D97"/>
  <c r="D101"/>
  <c r="D105"/>
  <c r="D167"/>
  <c r="D175"/>
  <c r="D237"/>
  <c r="D240"/>
  <c r="D244"/>
  <c r="C91" i="3"/>
  <c r="G91"/>
  <c r="K91"/>
  <c r="O91"/>
  <c r="C92"/>
  <c r="G92"/>
  <c r="K92"/>
  <c r="O92"/>
  <c r="C93"/>
  <c r="G93"/>
  <c r="K93"/>
  <c r="O93"/>
  <c r="C94"/>
  <c r="G94"/>
  <c r="K94"/>
  <c r="O94"/>
  <c r="C95"/>
  <c r="G95"/>
  <c r="K95"/>
  <c r="O95"/>
  <c r="C96"/>
  <c r="G96"/>
  <c r="K96"/>
  <c r="O96"/>
  <c r="D23" i="5"/>
  <c r="D31"/>
  <c r="D461"/>
  <c r="B91" i="3"/>
  <c r="J91"/>
  <c r="B92"/>
  <c r="J92"/>
  <c r="B93"/>
  <c r="J93"/>
  <c r="B94"/>
  <c r="J94"/>
  <c r="B95"/>
  <c r="J95"/>
  <c r="B96"/>
  <c r="J96"/>
  <c r="B97"/>
  <c r="F97"/>
  <c r="J97"/>
  <c r="N97"/>
  <c r="B98"/>
  <c r="F98"/>
  <c r="J98"/>
  <c r="N98"/>
  <c r="B99"/>
  <c r="F99"/>
  <c r="J99"/>
  <c r="N99"/>
  <c r="B100"/>
  <c r="F100"/>
  <c r="J100"/>
  <c r="N100"/>
  <c r="B101"/>
  <c r="F101"/>
  <c r="J101"/>
  <c r="N101"/>
  <c r="B102"/>
  <c r="F102"/>
  <c r="J102"/>
  <c r="N102"/>
  <c r="B103"/>
  <c r="F103"/>
  <c r="J103"/>
  <c r="N103"/>
  <c r="B104"/>
  <c r="F104"/>
  <c r="J104"/>
  <c r="N104"/>
  <c r="B105"/>
  <c r="F105"/>
  <c r="J105"/>
  <c r="N105"/>
  <c r="B106"/>
  <c r="F106"/>
  <c r="J106"/>
  <c r="N106"/>
  <c r="H91"/>
  <c r="P91"/>
  <c r="H92"/>
  <c r="P92"/>
  <c r="H93"/>
  <c r="P93"/>
  <c r="H94"/>
  <c r="P94"/>
  <c r="H95"/>
  <c r="P95"/>
  <c r="H96"/>
  <c r="P96"/>
  <c r="E97"/>
  <c r="I97"/>
  <c r="M97"/>
  <c r="Q97"/>
  <c r="E98"/>
  <c r="I98"/>
  <c r="M98"/>
  <c r="Q98"/>
  <c r="E99"/>
  <c r="I99"/>
  <c r="M99"/>
  <c r="Q99"/>
  <c r="E100"/>
  <c r="I100"/>
  <c r="M100"/>
  <c r="Q100"/>
  <c r="E101"/>
  <c r="I101"/>
  <c r="M101"/>
  <c r="Q101"/>
  <c r="E102"/>
  <c r="I102"/>
  <c r="M102"/>
  <c r="Q102"/>
  <c r="E103"/>
  <c r="I103"/>
  <c r="M103"/>
  <c r="Q103"/>
  <c r="E104"/>
  <c r="I104"/>
  <c r="M104"/>
  <c r="Q104"/>
  <c r="E105"/>
  <c r="I105"/>
  <c r="M105"/>
  <c r="Q105"/>
  <c r="E106"/>
  <c r="I106"/>
  <c r="M106"/>
  <c r="Q106"/>
  <c r="D99" i="5"/>
  <c r="D103"/>
  <c r="D465"/>
  <c r="D529"/>
  <c r="D530"/>
  <c r="D533"/>
  <c r="D538"/>
  <c r="D169"/>
  <c r="D177"/>
  <c r="D242"/>
  <c r="D250"/>
  <c r="I91" i="3"/>
  <c r="Q91"/>
  <c r="I92"/>
  <c r="Q92"/>
  <c r="I93"/>
  <c r="Q93"/>
  <c r="I94"/>
  <c r="Q94"/>
  <c r="I95"/>
  <c r="Q95"/>
  <c r="I96"/>
  <c r="Q96"/>
  <c r="D98" i="5"/>
  <c r="D467"/>
  <c r="D527"/>
  <c r="D536"/>
  <c r="N91" i="3"/>
  <c r="N92"/>
  <c r="N93"/>
  <c r="N94"/>
  <c r="N95"/>
  <c r="N96"/>
  <c r="H97"/>
  <c r="P97"/>
  <c r="H98"/>
  <c r="P98"/>
  <c r="H99"/>
  <c r="P99"/>
  <c r="H100"/>
  <c r="P100"/>
  <c r="H101"/>
  <c r="P101"/>
  <c r="H102"/>
  <c r="P102"/>
  <c r="H103"/>
  <c r="P103"/>
  <c r="H104"/>
  <c r="P104"/>
  <c r="H105"/>
  <c r="P105"/>
  <c r="H106"/>
  <c r="P106"/>
  <c r="L91"/>
  <c r="L92"/>
  <c r="L93"/>
  <c r="L94"/>
  <c r="L95"/>
  <c r="L96"/>
  <c r="G97"/>
  <c r="O97"/>
  <c r="G98"/>
  <c r="O98"/>
  <c r="G99"/>
  <c r="O99"/>
  <c r="G100"/>
  <c r="O100"/>
  <c r="G101"/>
  <c r="O101"/>
  <c r="G102"/>
  <c r="O102"/>
  <c r="G103"/>
  <c r="O103"/>
  <c r="G104"/>
  <c r="O104"/>
  <c r="G105"/>
  <c r="O105"/>
  <c r="G106"/>
  <c r="O106"/>
  <c r="D534" i="5"/>
  <c r="D537"/>
  <c r="D173"/>
  <c r="D246"/>
  <c r="E91" i="3"/>
  <c r="M91"/>
  <c r="E92"/>
  <c r="M92"/>
  <c r="E93"/>
  <c r="M93"/>
  <c r="E94"/>
  <c r="M94"/>
  <c r="E95"/>
  <c r="M95"/>
  <c r="E96"/>
  <c r="M96"/>
  <c r="D463" i="5"/>
  <c r="D532"/>
  <c r="F91" i="3"/>
  <c r="F92"/>
  <c r="F93"/>
  <c r="F94"/>
  <c r="F95"/>
  <c r="F96"/>
  <c r="D97"/>
  <c r="L97"/>
  <c r="D98"/>
  <c r="L98"/>
  <c r="D99"/>
  <c r="L99"/>
  <c r="D100"/>
  <c r="L100"/>
  <c r="D101"/>
  <c r="L101"/>
  <c r="D102"/>
  <c r="L102"/>
  <c r="D103"/>
  <c r="L103"/>
  <c r="D104"/>
  <c r="L104"/>
  <c r="D105"/>
  <c r="L105"/>
  <c r="D106"/>
  <c r="L106"/>
  <c r="D464" i="5"/>
  <c r="D91" i="3"/>
  <c r="D92"/>
  <c r="D93"/>
  <c r="D94"/>
  <c r="D95"/>
  <c r="D96"/>
  <c r="C97"/>
  <c r="K97"/>
  <c r="C98"/>
  <c r="K98"/>
  <c r="C99"/>
  <c r="K99"/>
  <c r="C100"/>
  <c r="K100"/>
  <c r="C101"/>
  <c r="K101"/>
  <c r="C102"/>
  <c r="K102"/>
  <c r="C103"/>
  <c r="K103"/>
  <c r="C104"/>
  <c r="K104"/>
  <c r="C105"/>
  <c r="K105"/>
  <c r="C106"/>
  <c r="K106"/>
  <c r="Z153" i="5" l="1"/>
  <c r="Z160"/>
  <c r="Z158"/>
  <c r="Z156"/>
  <c r="Z154"/>
  <c r="Z152"/>
  <c r="Z150"/>
  <c r="Z148"/>
  <c r="Z146"/>
  <c r="Z251"/>
  <c r="Z250"/>
  <c r="Z249"/>
  <c r="G248"/>
  <c r="G245"/>
  <c r="Z244"/>
  <c r="G179"/>
  <c r="G176"/>
  <c r="Z175"/>
  <c r="Z174"/>
  <c r="Z173"/>
  <c r="Z172"/>
  <c r="G171"/>
  <c r="G168"/>
  <c r="Z167"/>
  <c r="G130"/>
  <c r="G128"/>
  <c r="Z130"/>
  <c r="Z129"/>
  <c r="Z128"/>
  <c r="Z269"/>
  <c r="G269"/>
  <c r="L269" s="1"/>
  <c r="M269" s="1"/>
  <c r="N269" s="1"/>
  <c r="P269" s="1"/>
  <c r="O269" s="1"/>
  <c r="K269" s="1"/>
  <c r="H269" s="1"/>
  <c r="S269" s="1"/>
  <c r="Z254"/>
  <c r="G21"/>
  <c r="C30"/>
  <c r="C28"/>
  <c r="Z56"/>
  <c r="G93"/>
  <c r="Z92"/>
  <c r="G106"/>
  <c r="Z105"/>
  <c r="Z104"/>
  <c r="Z103"/>
  <c r="Z231"/>
  <c r="L233"/>
  <c r="L231"/>
  <c r="L229"/>
  <c r="L227"/>
  <c r="L225"/>
  <c r="L223"/>
  <c r="L221"/>
  <c r="Z202"/>
  <c r="Z201"/>
  <c r="Z200"/>
  <c r="C35"/>
  <c r="C52"/>
  <c r="C34"/>
  <c r="C33"/>
  <c r="C50"/>
  <c r="C32"/>
  <c r="C31"/>
  <c r="C47"/>
  <c r="C29"/>
  <c r="C27"/>
  <c r="C26"/>
  <c r="C25"/>
  <c r="C24"/>
  <c r="C23"/>
  <c r="C38"/>
  <c r="C670" i="6"/>
  <c r="G670"/>
  <c r="C623"/>
  <c r="G623"/>
  <c r="Z592" i="5"/>
  <c r="Z590"/>
  <c r="Z588"/>
  <c r="Z586"/>
  <c r="Z584"/>
  <c r="Z582"/>
  <c r="Z580"/>
  <c r="Z578"/>
  <c r="G539"/>
  <c r="Z538"/>
  <c r="G535"/>
  <c r="Z534"/>
  <c r="G531"/>
  <c r="Z530"/>
  <c r="C530"/>
  <c r="G528"/>
  <c r="Z527"/>
  <c r="G525"/>
  <c r="Z524"/>
  <c r="G520"/>
  <c r="L520" s="1"/>
  <c r="G518"/>
  <c r="L518" s="1"/>
  <c r="G516"/>
  <c r="L516" s="1"/>
  <c r="G514"/>
  <c r="L514" s="1"/>
  <c r="G512"/>
  <c r="L512" s="1"/>
  <c r="G510"/>
  <c r="L510" s="1"/>
  <c r="M510" s="1"/>
  <c r="N510" s="1"/>
  <c r="P510" s="1"/>
  <c r="O510" s="1"/>
  <c r="K510" s="1"/>
  <c r="H510" s="1"/>
  <c r="G508"/>
  <c r="L508" s="1"/>
  <c r="M508" s="1"/>
  <c r="N508" s="1"/>
  <c r="P508" s="1"/>
  <c r="O508" s="1"/>
  <c r="K508" s="1"/>
  <c r="H508" s="1"/>
  <c r="G506"/>
  <c r="G490"/>
  <c r="Z489"/>
  <c r="G466"/>
  <c r="Z465"/>
  <c r="G462"/>
  <c r="Z461"/>
  <c r="G458"/>
  <c r="Z457"/>
  <c r="Z434"/>
  <c r="G395"/>
  <c r="Z394"/>
  <c r="G391"/>
  <c r="Z390"/>
  <c r="G385"/>
  <c r="Z384"/>
  <c r="Z383"/>
  <c r="Z382"/>
  <c r="G344"/>
  <c r="Z340"/>
  <c r="Z339"/>
  <c r="L329"/>
  <c r="M329" s="1"/>
  <c r="N329" s="1"/>
  <c r="P329" s="1"/>
  <c r="O329" s="1"/>
  <c r="K329" s="1"/>
  <c r="H329" s="1"/>
  <c r="Z328"/>
  <c r="Z327"/>
  <c r="G320"/>
  <c r="Z319"/>
  <c r="G316"/>
  <c r="Z315"/>
  <c r="Z314"/>
  <c r="Z313"/>
  <c r="Z294"/>
  <c r="Z292"/>
  <c r="G249"/>
  <c r="Z248"/>
  <c r="Z247"/>
  <c r="Z246"/>
  <c r="G241"/>
  <c r="Z240"/>
  <c r="Z239"/>
  <c r="G200"/>
  <c r="Z197"/>
  <c r="G196"/>
  <c r="L196" s="1"/>
  <c r="M196" s="1"/>
  <c r="N196" s="1"/>
  <c r="P196" s="1"/>
  <c r="O196" s="1"/>
  <c r="K196" s="1"/>
  <c r="H196" s="1"/>
  <c r="Z195"/>
  <c r="G194"/>
  <c r="L194" s="1"/>
  <c r="M194" s="1"/>
  <c r="N194" s="1"/>
  <c r="P194" s="1"/>
  <c r="O194" s="1"/>
  <c r="K194" s="1"/>
  <c r="H194" s="1"/>
  <c r="Z193"/>
  <c r="G192"/>
  <c r="L192" s="1"/>
  <c r="M192" s="1"/>
  <c r="N192" s="1"/>
  <c r="P192" s="1"/>
  <c r="O192" s="1"/>
  <c r="K192" s="1"/>
  <c r="H192" s="1"/>
  <c r="Z191"/>
  <c r="G190"/>
  <c r="L190" s="1"/>
  <c r="M190" s="1"/>
  <c r="N190" s="1"/>
  <c r="P190" s="1"/>
  <c r="O190" s="1"/>
  <c r="K190" s="1"/>
  <c r="H190" s="1"/>
  <c r="Z189"/>
  <c r="G188"/>
  <c r="L188" s="1"/>
  <c r="M188" s="1"/>
  <c r="N188" s="1"/>
  <c r="P188" s="1"/>
  <c r="O188" s="1"/>
  <c r="K188" s="1"/>
  <c r="H188" s="1"/>
  <c r="S188" s="1"/>
  <c r="Z187"/>
  <c r="G186"/>
  <c r="L186" s="1"/>
  <c r="M186" s="1"/>
  <c r="N186" s="1"/>
  <c r="P186" s="1"/>
  <c r="O186" s="1"/>
  <c r="K186" s="1"/>
  <c r="H186" s="1"/>
  <c r="Z185"/>
  <c r="L184"/>
  <c r="M184" s="1"/>
  <c r="N184" s="1"/>
  <c r="P184" s="1"/>
  <c r="O184" s="1"/>
  <c r="K184" s="1"/>
  <c r="H184" s="1"/>
  <c r="G184"/>
  <c r="Z183"/>
  <c r="G182"/>
  <c r="L182" s="1"/>
  <c r="M182" s="1"/>
  <c r="N182" s="1"/>
  <c r="P182" s="1"/>
  <c r="O182" s="1"/>
  <c r="K182" s="1"/>
  <c r="H182" s="1"/>
  <c r="Z179"/>
  <c r="Z178"/>
  <c r="Z177"/>
  <c r="G172"/>
  <c r="Z171"/>
  <c r="Z170"/>
  <c r="Z169"/>
  <c r="Z165"/>
  <c r="Z164"/>
  <c r="F164" s="1"/>
  <c r="L160"/>
  <c r="L158"/>
  <c r="L156"/>
  <c r="L154"/>
  <c r="L152"/>
  <c r="L150"/>
  <c r="G148"/>
  <c r="L148" s="1"/>
  <c r="M148" s="1"/>
  <c r="N148" s="1"/>
  <c r="P148" s="1"/>
  <c r="O148" s="1"/>
  <c r="K148" s="1"/>
  <c r="H148" s="1"/>
  <c r="G146"/>
  <c r="L146" s="1"/>
  <c r="M146" s="1"/>
  <c r="N146" s="1"/>
  <c r="P146" s="1"/>
  <c r="O146" s="1"/>
  <c r="K146" s="1"/>
  <c r="H146" s="1"/>
  <c r="Z107"/>
  <c r="G102"/>
  <c r="Z101"/>
  <c r="Z100"/>
  <c r="Z99"/>
  <c r="Z58"/>
  <c r="Z53"/>
  <c r="G52"/>
  <c r="L52" s="1"/>
  <c r="M52" s="1"/>
  <c r="N52" s="1"/>
  <c r="P52" s="1"/>
  <c r="O52" s="1"/>
  <c r="K52" s="1"/>
  <c r="H52" s="1"/>
  <c r="Z51"/>
  <c r="G50"/>
  <c r="L50" s="1"/>
  <c r="M50" s="1"/>
  <c r="N50" s="1"/>
  <c r="P50" s="1"/>
  <c r="O50" s="1"/>
  <c r="K50" s="1"/>
  <c r="H50" s="1"/>
  <c r="Z49"/>
  <c r="G48"/>
  <c r="L48" s="1"/>
  <c r="M48" s="1"/>
  <c r="N48" s="1"/>
  <c r="P48" s="1"/>
  <c r="O48" s="1"/>
  <c r="K48" s="1"/>
  <c r="H48" s="1"/>
  <c r="Z47"/>
  <c r="G46"/>
  <c r="L46" s="1"/>
  <c r="M46" s="1"/>
  <c r="N46" s="1"/>
  <c r="P46" s="1"/>
  <c r="O46" s="1"/>
  <c r="K46" s="1"/>
  <c r="H46" s="1"/>
  <c r="Z45"/>
  <c r="G44"/>
  <c r="L44" s="1"/>
  <c r="M44" s="1"/>
  <c r="N44" s="1"/>
  <c r="P44" s="1"/>
  <c r="O44" s="1"/>
  <c r="K44" s="1"/>
  <c r="H44" s="1"/>
  <c r="Z43"/>
  <c r="L42"/>
  <c r="M42" s="1"/>
  <c r="N42" s="1"/>
  <c r="P42" s="1"/>
  <c r="O42" s="1"/>
  <c r="K42" s="1"/>
  <c r="H42" s="1"/>
  <c r="G42"/>
  <c r="Z41"/>
  <c r="G40"/>
  <c r="L40" s="1"/>
  <c r="M40" s="1"/>
  <c r="N40" s="1"/>
  <c r="P40" s="1"/>
  <c r="O40" s="1"/>
  <c r="K40" s="1"/>
  <c r="H40" s="1"/>
  <c r="Z39"/>
  <c r="G38"/>
  <c r="L38" s="1"/>
  <c r="M38" s="1"/>
  <c r="N38" s="1"/>
  <c r="P38" s="1"/>
  <c r="O38" s="1"/>
  <c r="K38" s="1"/>
  <c r="H38" s="1"/>
  <c r="G35"/>
  <c r="Z34"/>
  <c r="Z33"/>
  <c r="Z32"/>
  <c r="G27"/>
  <c r="Z26"/>
  <c r="Z25"/>
  <c r="Z24"/>
  <c r="K16"/>
  <c r="K14"/>
  <c r="K12"/>
  <c r="K10"/>
  <c r="K8"/>
  <c r="K6"/>
  <c r="L858" i="6"/>
  <c r="G858"/>
  <c r="L856"/>
  <c r="G856"/>
  <c r="L854"/>
  <c r="G854"/>
  <c r="L852"/>
  <c r="G852"/>
  <c r="G832"/>
  <c r="E831"/>
  <c r="E781"/>
  <c r="E780"/>
  <c r="G728"/>
  <c r="E727"/>
  <c r="G724"/>
  <c r="E723"/>
  <c r="E702"/>
  <c r="E700"/>
  <c r="E698"/>
  <c r="E696"/>
  <c r="E651"/>
  <c r="E649"/>
  <c r="E647"/>
  <c r="E645"/>
  <c r="L622"/>
  <c r="G622"/>
  <c r="C674"/>
  <c r="G674"/>
  <c r="C619"/>
  <c r="G619"/>
  <c r="C572"/>
  <c r="G572"/>
  <c r="D572" s="1"/>
  <c r="L572"/>
  <c r="C568"/>
  <c r="G568"/>
  <c r="D568" s="1"/>
  <c r="U46"/>
  <c r="K29" i="3" s="1"/>
  <c r="U43" i="6"/>
  <c r="A52" i="3" s="1"/>
  <c r="M29" s="1"/>
  <c r="T46" i="6"/>
  <c r="J29" i="3" s="1"/>
  <c r="T150" i="6"/>
  <c r="J30" i="3" s="1"/>
  <c r="U251" i="6"/>
  <c r="A54" i="3" s="1"/>
  <c r="M31" s="1"/>
  <c r="U254" i="6"/>
  <c r="K31" i="3" s="1"/>
  <c r="T358" i="6"/>
  <c r="J32" i="3" s="1"/>
  <c r="U462" i="6"/>
  <c r="K33" i="3" s="1"/>
  <c r="U147" i="6"/>
  <c r="A53" i="3" s="1"/>
  <c r="M30" s="1"/>
  <c r="U150" i="6"/>
  <c r="K30" i="3" s="1"/>
  <c r="T254" i="6"/>
  <c r="J31" i="3" s="1"/>
  <c r="U355" i="6"/>
  <c r="A55" i="3" s="1"/>
  <c r="M32" s="1"/>
  <c r="U358" i="6"/>
  <c r="K32" i="3" s="1"/>
  <c r="U459" i="6"/>
  <c r="A57" i="3" s="1"/>
  <c r="N33" s="1"/>
  <c r="T462" i="6"/>
  <c r="J33" i="3" s="1"/>
  <c r="T566" i="6"/>
  <c r="J34" i="3" s="1"/>
  <c r="U667" i="6"/>
  <c r="A59" i="3" s="1"/>
  <c r="N35" s="1"/>
  <c r="U670" i="6"/>
  <c r="K35" i="3" s="1"/>
  <c r="E622" i="6"/>
  <c r="E618"/>
  <c r="E443"/>
  <c r="E442"/>
  <c r="E441"/>
  <c r="E440"/>
  <c r="E439"/>
  <c r="E438"/>
  <c r="E437"/>
  <c r="E436"/>
  <c r="E417"/>
  <c r="L415"/>
  <c r="G415"/>
  <c r="G414"/>
  <c r="E413"/>
  <c r="E339"/>
  <c r="E337"/>
  <c r="E335"/>
  <c r="G313"/>
  <c r="E312"/>
  <c r="G310"/>
  <c r="L310" s="1"/>
  <c r="M310" s="1"/>
  <c r="N310" s="1"/>
  <c r="P310" s="1"/>
  <c r="O310" s="1"/>
  <c r="K310" s="1"/>
  <c r="H310" s="1"/>
  <c r="E261"/>
  <c r="G259"/>
  <c r="L259" s="1"/>
  <c r="M259" s="1"/>
  <c r="N259" s="1"/>
  <c r="P259" s="1"/>
  <c r="O259" s="1"/>
  <c r="K259" s="1"/>
  <c r="H259" s="1"/>
  <c r="E257"/>
  <c r="L255"/>
  <c r="G255"/>
  <c r="E234"/>
  <c r="E232"/>
  <c r="E230"/>
  <c r="W209"/>
  <c r="AC209" s="1"/>
  <c r="G205"/>
  <c r="E204"/>
  <c r="G202"/>
  <c r="L202" s="1"/>
  <c r="M202" s="1"/>
  <c r="N202" s="1"/>
  <c r="P202" s="1"/>
  <c r="O202" s="1"/>
  <c r="K202" s="1"/>
  <c r="H202" s="1"/>
  <c r="E183"/>
  <c r="E182"/>
  <c r="E181"/>
  <c r="E180"/>
  <c r="E179"/>
  <c r="E178"/>
  <c r="E177"/>
  <c r="E176"/>
  <c r="G155"/>
  <c r="D155" s="1"/>
  <c r="E154"/>
  <c r="G103"/>
  <c r="E102"/>
  <c r="E78"/>
  <c r="E76"/>
  <c r="E74"/>
  <c r="L51"/>
  <c r="G51"/>
  <c r="C48"/>
  <c r="G47"/>
  <c r="L47" s="1"/>
  <c r="M47" s="1"/>
  <c r="N47" s="1"/>
  <c r="P47" s="1"/>
  <c r="O47" s="1"/>
  <c r="K47" s="1"/>
  <c r="H47" s="1"/>
  <c r="W46"/>
  <c r="AC46" s="1"/>
  <c r="M22"/>
  <c r="N22" s="1"/>
  <c r="P22" s="1"/>
  <c r="O22" s="1"/>
  <c r="M18"/>
  <c r="N18" s="1"/>
  <c r="P18" s="1"/>
  <c r="O18" s="1"/>
  <c r="M14"/>
  <c r="N14" s="1"/>
  <c r="P14" s="1"/>
  <c r="O14" s="1"/>
  <c r="M10"/>
  <c r="N10" s="1"/>
  <c r="P10" s="1"/>
  <c r="O10" s="1"/>
  <c r="M6"/>
  <c r="N6" s="1"/>
  <c r="P6" s="1"/>
  <c r="O6" s="1"/>
  <c r="K4"/>
  <c r="D156"/>
  <c r="D152"/>
  <c r="C376" i="5"/>
  <c r="G376"/>
  <c r="L376" s="1"/>
  <c r="C370"/>
  <c r="G370"/>
  <c r="L370" s="1"/>
  <c r="M370" s="1"/>
  <c r="N370" s="1"/>
  <c r="P370" s="1"/>
  <c r="O370" s="1"/>
  <c r="K370" s="1"/>
  <c r="H370" s="1"/>
  <c r="C368"/>
  <c r="G368"/>
  <c r="L368" s="1"/>
  <c r="C366"/>
  <c r="G366"/>
  <c r="L366" s="1"/>
  <c r="M366" s="1"/>
  <c r="N366" s="1"/>
  <c r="P366" s="1"/>
  <c r="O366" s="1"/>
  <c r="K366" s="1"/>
  <c r="H366" s="1"/>
  <c r="C341"/>
  <c r="Z341"/>
  <c r="C238"/>
  <c r="Z238"/>
  <c r="C232"/>
  <c r="G232"/>
  <c r="L232" s="1"/>
  <c r="C230"/>
  <c r="G230"/>
  <c r="L230" s="1"/>
  <c r="M230" s="1"/>
  <c r="N230" s="1"/>
  <c r="P230" s="1"/>
  <c r="O230" s="1"/>
  <c r="K230" s="1"/>
  <c r="H230" s="1"/>
  <c r="C228"/>
  <c r="G228"/>
  <c r="L228" s="1"/>
  <c r="M228" s="1"/>
  <c r="N228" s="1"/>
  <c r="P228" s="1"/>
  <c r="O228" s="1"/>
  <c r="K228" s="1"/>
  <c r="H228" s="1"/>
  <c r="C226"/>
  <c r="G226"/>
  <c r="L226" s="1"/>
  <c r="M226" s="1"/>
  <c r="N226" s="1"/>
  <c r="P226" s="1"/>
  <c r="O226" s="1"/>
  <c r="K226" s="1"/>
  <c r="H226" s="1"/>
  <c r="C224"/>
  <c r="G224"/>
  <c r="L224" s="1"/>
  <c r="M224" s="1"/>
  <c r="N224" s="1"/>
  <c r="P224" s="1"/>
  <c r="O224" s="1"/>
  <c r="K224" s="1"/>
  <c r="H224" s="1"/>
  <c r="C222"/>
  <c r="G222"/>
  <c r="L222" s="1"/>
  <c r="M222" s="1"/>
  <c r="N222" s="1"/>
  <c r="P222" s="1"/>
  <c r="O222" s="1"/>
  <c r="K222" s="1"/>
  <c r="H222" s="1"/>
  <c r="C220"/>
  <c r="G220"/>
  <c r="L220" s="1"/>
  <c r="M220" s="1"/>
  <c r="N220" s="1"/>
  <c r="P220" s="1"/>
  <c r="O220" s="1"/>
  <c r="K220" s="1"/>
  <c r="H220" s="1"/>
  <c r="C218"/>
  <c r="G218"/>
  <c r="L218" s="1"/>
  <c r="M218" s="1"/>
  <c r="N218" s="1"/>
  <c r="P218" s="1"/>
  <c r="O218" s="1"/>
  <c r="K218" s="1"/>
  <c r="H218" s="1"/>
  <c r="C88"/>
  <c r="G88"/>
  <c r="L88" s="1"/>
  <c r="M88" s="1"/>
  <c r="N88" s="1"/>
  <c r="P88" s="1"/>
  <c r="O88" s="1"/>
  <c r="K88" s="1"/>
  <c r="H88" s="1"/>
  <c r="C86"/>
  <c r="G86"/>
  <c r="L86" s="1"/>
  <c r="M86" s="1"/>
  <c r="N86" s="1"/>
  <c r="P86" s="1"/>
  <c r="O86" s="1"/>
  <c r="K86" s="1"/>
  <c r="H86" s="1"/>
  <c r="C84"/>
  <c r="G84"/>
  <c r="L84" s="1"/>
  <c r="M84" s="1"/>
  <c r="N84" s="1"/>
  <c r="P84" s="1"/>
  <c r="O84" s="1"/>
  <c r="K84" s="1"/>
  <c r="H84" s="1"/>
  <c r="C82"/>
  <c r="G82"/>
  <c r="L82" s="1"/>
  <c r="M82" s="1"/>
  <c r="N82" s="1"/>
  <c r="P82" s="1"/>
  <c r="O82" s="1"/>
  <c r="K82" s="1"/>
  <c r="H82" s="1"/>
  <c r="C80"/>
  <c r="G80"/>
  <c r="L80" s="1"/>
  <c r="M80" s="1"/>
  <c r="N80" s="1"/>
  <c r="P80" s="1"/>
  <c r="O80" s="1"/>
  <c r="K80" s="1"/>
  <c r="H80" s="1"/>
  <c r="C78"/>
  <c r="G78"/>
  <c r="L78" s="1"/>
  <c r="M78" s="1"/>
  <c r="N78" s="1"/>
  <c r="P78" s="1"/>
  <c r="O78" s="1"/>
  <c r="K78" s="1"/>
  <c r="H78" s="1"/>
  <c r="C76"/>
  <c r="G76"/>
  <c r="L76" s="1"/>
  <c r="M76" s="1"/>
  <c r="N76" s="1"/>
  <c r="P76" s="1"/>
  <c r="O76" s="1"/>
  <c r="K76" s="1"/>
  <c r="H76" s="1"/>
  <c r="C74"/>
  <c r="G74"/>
  <c r="L74" s="1"/>
  <c r="M74" s="1"/>
  <c r="N74" s="1"/>
  <c r="P74" s="1"/>
  <c r="O74" s="1"/>
  <c r="K74" s="1"/>
  <c r="H74" s="1"/>
  <c r="Z20"/>
  <c r="H17"/>
  <c r="M17"/>
  <c r="N17" s="1"/>
  <c r="P17" s="1"/>
  <c r="O17" s="1"/>
  <c r="H15"/>
  <c r="M15"/>
  <c r="N15" s="1"/>
  <c r="P15" s="1"/>
  <c r="O15" s="1"/>
  <c r="H13"/>
  <c r="M13"/>
  <c r="N13" s="1"/>
  <c r="P13" s="1"/>
  <c r="O13" s="1"/>
  <c r="H11"/>
  <c r="M11"/>
  <c r="N11" s="1"/>
  <c r="P11" s="1"/>
  <c r="O11" s="1"/>
  <c r="H9"/>
  <c r="M9"/>
  <c r="N9" s="1"/>
  <c r="P9" s="1"/>
  <c r="O9" s="1"/>
  <c r="H7"/>
  <c r="M7"/>
  <c r="N7" s="1"/>
  <c r="P7" s="1"/>
  <c r="O7" s="1"/>
  <c r="H5"/>
  <c r="M5"/>
  <c r="N5" s="1"/>
  <c r="P5" s="1"/>
  <c r="O5" s="1"/>
  <c r="C859" i="6"/>
  <c r="G859"/>
  <c r="L859" s="1"/>
  <c r="C857"/>
  <c r="G857"/>
  <c r="L857"/>
  <c r="C855"/>
  <c r="G855"/>
  <c r="L855" s="1"/>
  <c r="C853"/>
  <c r="G853"/>
  <c r="L853" s="1"/>
  <c r="M853" s="1"/>
  <c r="N853" s="1"/>
  <c r="P853" s="1"/>
  <c r="O853" s="1"/>
  <c r="K853" s="1"/>
  <c r="H853" s="1"/>
  <c r="E832"/>
  <c r="I832"/>
  <c r="C729"/>
  <c r="G729"/>
  <c r="L729" s="1"/>
  <c r="M729" s="1"/>
  <c r="N729" s="1"/>
  <c r="P729" s="1"/>
  <c r="O729" s="1"/>
  <c r="K729" s="1"/>
  <c r="H729" s="1"/>
  <c r="C726"/>
  <c r="G726"/>
  <c r="E677"/>
  <c r="W729"/>
  <c r="AC729" s="1"/>
  <c r="C675"/>
  <c r="G675"/>
  <c r="L675"/>
  <c r="E673"/>
  <c r="W725"/>
  <c r="AC725" s="1"/>
  <c r="C671"/>
  <c r="G671"/>
  <c r="L671" s="1"/>
  <c r="C625"/>
  <c r="G625"/>
  <c r="C624"/>
  <c r="G624"/>
  <c r="L624" s="1"/>
  <c r="M624" s="1"/>
  <c r="N624" s="1"/>
  <c r="P624" s="1"/>
  <c r="O624" s="1"/>
  <c r="K624" s="1"/>
  <c r="H624" s="1"/>
  <c r="C573"/>
  <c r="G573"/>
  <c r="D573" s="1"/>
  <c r="E571"/>
  <c r="I571"/>
  <c r="W623"/>
  <c r="AC623" s="1"/>
  <c r="C569"/>
  <c r="G569"/>
  <c r="D569" s="1"/>
  <c r="E567"/>
  <c r="I567"/>
  <c r="W619"/>
  <c r="AC619" s="1"/>
  <c r="E517"/>
  <c r="I517"/>
  <c r="C364"/>
  <c r="G364"/>
  <c r="L364" s="1"/>
  <c r="E362"/>
  <c r="I362"/>
  <c r="W414"/>
  <c r="AC414" s="1"/>
  <c r="W413"/>
  <c r="AC413" s="1"/>
  <c r="E361"/>
  <c r="W833"/>
  <c r="AC833" s="1"/>
  <c r="C374" i="5"/>
  <c r="G374"/>
  <c r="L374" s="1"/>
  <c r="M374" s="1"/>
  <c r="N374" s="1"/>
  <c r="P374" s="1"/>
  <c r="O374" s="1"/>
  <c r="K374" s="1"/>
  <c r="H374" s="1"/>
  <c r="C372"/>
  <c r="G372"/>
  <c r="L372" s="1"/>
  <c r="C364"/>
  <c r="G364"/>
  <c r="L364"/>
  <c r="C362"/>
  <c r="G362"/>
  <c r="L362" s="1"/>
  <c r="C333"/>
  <c r="Z333"/>
  <c r="Z381"/>
  <c r="C337"/>
  <c r="Z337"/>
  <c r="C329"/>
  <c r="Z329"/>
  <c r="C294"/>
  <c r="G294"/>
  <c r="L294" s="1"/>
  <c r="M294" s="1"/>
  <c r="N294" s="1"/>
  <c r="P294" s="1"/>
  <c r="O294" s="1"/>
  <c r="K294" s="1"/>
  <c r="H294" s="1"/>
  <c r="C292"/>
  <c r="G292"/>
  <c r="L292" s="1"/>
  <c r="C290"/>
  <c r="G290"/>
  <c r="L290" s="1"/>
  <c r="M290" s="1"/>
  <c r="N290" s="1"/>
  <c r="P290" s="1"/>
  <c r="O290" s="1"/>
  <c r="K290" s="1"/>
  <c r="H290" s="1"/>
  <c r="Z237"/>
  <c r="C161"/>
  <c r="G161"/>
  <c r="L161" s="1"/>
  <c r="C159"/>
  <c r="G159"/>
  <c r="L159" s="1"/>
  <c r="C157"/>
  <c r="G157"/>
  <c r="L157" s="1"/>
  <c r="C155"/>
  <c r="G155"/>
  <c r="L155"/>
  <c r="C153"/>
  <c r="G153"/>
  <c r="L153" s="1"/>
  <c r="C151"/>
  <c r="G151"/>
  <c r="L151" s="1"/>
  <c r="C149"/>
  <c r="G149"/>
  <c r="L149" s="1"/>
  <c r="C147"/>
  <c r="G147"/>
  <c r="L147"/>
  <c r="C22"/>
  <c r="Z22"/>
  <c r="C830" i="6"/>
  <c r="G830"/>
  <c r="C829"/>
  <c r="G829"/>
  <c r="L829" s="1"/>
  <c r="M829" s="1"/>
  <c r="N829" s="1"/>
  <c r="P829" s="1"/>
  <c r="O829" s="1"/>
  <c r="K829" s="1"/>
  <c r="H829" s="1"/>
  <c r="E779"/>
  <c r="I779"/>
  <c r="W831"/>
  <c r="AC831" s="1"/>
  <c r="E774"/>
  <c r="W826"/>
  <c r="AC826" s="1"/>
  <c r="C754"/>
  <c r="G754"/>
  <c r="L754" s="1"/>
  <c r="M754" s="1"/>
  <c r="N754" s="1"/>
  <c r="P754" s="1"/>
  <c r="O754" s="1"/>
  <c r="K754" s="1"/>
  <c r="H754" s="1"/>
  <c r="C752"/>
  <c r="G752"/>
  <c r="L752"/>
  <c r="C750"/>
  <c r="G750"/>
  <c r="L750" s="1"/>
  <c r="M750" s="1"/>
  <c r="N750" s="1"/>
  <c r="P750" s="1"/>
  <c r="O750" s="1"/>
  <c r="K750" s="1"/>
  <c r="H750" s="1"/>
  <c r="C748"/>
  <c r="G748"/>
  <c r="L748" s="1"/>
  <c r="M748" s="1"/>
  <c r="N748" s="1"/>
  <c r="P748" s="1"/>
  <c r="O748" s="1"/>
  <c r="K748" s="1"/>
  <c r="H748" s="1"/>
  <c r="C725"/>
  <c r="G725"/>
  <c r="L725" s="1"/>
  <c r="M725" s="1"/>
  <c r="N725" s="1"/>
  <c r="P725" s="1"/>
  <c r="O725" s="1"/>
  <c r="K725" s="1"/>
  <c r="H725" s="1"/>
  <c r="C722"/>
  <c r="G722"/>
  <c r="C621"/>
  <c r="G621"/>
  <c r="C620"/>
  <c r="G620"/>
  <c r="L620"/>
  <c r="E519"/>
  <c r="I519"/>
  <c r="C468"/>
  <c r="G468"/>
  <c r="D468" s="1"/>
  <c r="L468"/>
  <c r="E466"/>
  <c r="W518"/>
  <c r="AC518" s="1"/>
  <c r="C464"/>
  <c r="G464"/>
  <c r="D464" s="1"/>
  <c r="G453" i="5"/>
  <c r="Z318"/>
  <c r="G592"/>
  <c r="L592" s="1"/>
  <c r="M592" s="1"/>
  <c r="N592" s="1"/>
  <c r="P592" s="1"/>
  <c r="O592" s="1"/>
  <c r="K592" s="1"/>
  <c r="H592" s="1"/>
  <c r="G590"/>
  <c r="L590" s="1"/>
  <c r="M590" s="1"/>
  <c r="N590" s="1"/>
  <c r="P590" s="1"/>
  <c r="O590" s="1"/>
  <c r="K590" s="1"/>
  <c r="H590" s="1"/>
  <c r="G588"/>
  <c r="L588" s="1"/>
  <c r="M588" s="1"/>
  <c r="N588" s="1"/>
  <c r="P588" s="1"/>
  <c r="O588" s="1"/>
  <c r="K588" s="1"/>
  <c r="H588" s="1"/>
  <c r="G586"/>
  <c r="L586" s="1"/>
  <c r="M586" s="1"/>
  <c r="N586" s="1"/>
  <c r="P586" s="1"/>
  <c r="O586" s="1"/>
  <c r="K586" s="1"/>
  <c r="H586" s="1"/>
  <c r="G584"/>
  <c r="L584" s="1"/>
  <c r="M584" s="1"/>
  <c r="N584" s="1"/>
  <c r="P584" s="1"/>
  <c r="O584" s="1"/>
  <c r="K584" s="1"/>
  <c r="H584" s="1"/>
  <c r="G582"/>
  <c r="L582" s="1"/>
  <c r="M582" s="1"/>
  <c r="N582" s="1"/>
  <c r="P582" s="1"/>
  <c r="O582" s="1"/>
  <c r="K582" s="1"/>
  <c r="H582" s="1"/>
  <c r="G580"/>
  <c r="L580" s="1"/>
  <c r="M580" s="1"/>
  <c r="N580" s="1"/>
  <c r="P580" s="1"/>
  <c r="O580" s="1"/>
  <c r="K580" s="1"/>
  <c r="H580" s="1"/>
  <c r="G578"/>
  <c r="L578" s="1"/>
  <c r="M578" s="1"/>
  <c r="N578" s="1"/>
  <c r="P578" s="1"/>
  <c r="O578" s="1"/>
  <c r="K578" s="1"/>
  <c r="H578" s="1"/>
  <c r="Z528"/>
  <c r="G521"/>
  <c r="L521" s="1"/>
  <c r="G519"/>
  <c r="L519" s="1"/>
  <c r="G517"/>
  <c r="L517" s="1"/>
  <c r="G515"/>
  <c r="L515" s="1"/>
  <c r="G513"/>
  <c r="L513" s="1"/>
  <c r="G511"/>
  <c r="L511" s="1"/>
  <c r="M511" s="1"/>
  <c r="N511" s="1"/>
  <c r="P511" s="1"/>
  <c r="O511" s="1"/>
  <c r="K511" s="1"/>
  <c r="H511" s="1"/>
  <c r="G509"/>
  <c r="L509" s="1"/>
  <c r="M509" s="1"/>
  <c r="N509" s="1"/>
  <c r="P509" s="1"/>
  <c r="O509" s="1"/>
  <c r="K509" s="1"/>
  <c r="H509" s="1"/>
  <c r="G507"/>
  <c r="L507" s="1"/>
  <c r="M507" s="1"/>
  <c r="N507" s="1"/>
  <c r="P507" s="1"/>
  <c r="O507" s="1"/>
  <c r="K507" s="1"/>
  <c r="H507" s="1"/>
  <c r="Z448"/>
  <c r="Z446"/>
  <c r="Z444"/>
  <c r="Z442"/>
  <c r="Z440"/>
  <c r="Z438"/>
  <c r="Z436"/>
  <c r="G434"/>
  <c r="L434" s="1"/>
  <c r="M434" s="1"/>
  <c r="N434" s="1"/>
  <c r="P434" s="1"/>
  <c r="O434" s="1"/>
  <c r="K434" s="1"/>
  <c r="H434" s="1"/>
  <c r="Z412"/>
  <c r="Z408"/>
  <c r="Z404"/>
  <c r="Z400"/>
  <c r="G387"/>
  <c r="G383"/>
  <c r="Z376"/>
  <c r="Z374"/>
  <c r="Z372"/>
  <c r="Z370"/>
  <c r="Z368"/>
  <c r="Z366"/>
  <c r="Z364"/>
  <c r="G341"/>
  <c r="L341" s="1"/>
  <c r="M341" s="1"/>
  <c r="N341" s="1"/>
  <c r="P341" s="1"/>
  <c r="O341" s="1"/>
  <c r="K341" s="1"/>
  <c r="H341" s="1"/>
  <c r="Z338"/>
  <c r="G338"/>
  <c r="L338" s="1"/>
  <c r="M338" s="1"/>
  <c r="N338" s="1"/>
  <c r="P338" s="1"/>
  <c r="O338" s="1"/>
  <c r="K338" s="1"/>
  <c r="H338" s="1"/>
  <c r="G333"/>
  <c r="L333" s="1"/>
  <c r="M333" s="1"/>
  <c r="N333" s="1"/>
  <c r="P333" s="1"/>
  <c r="O333" s="1"/>
  <c r="K333" s="1"/>
  <c r="H333" s="1"/>
  <c r="Z330"/>
  <c r="G330"/>
  <c r="L330" s="1"/>
  <c r="M330" s="1"/>
  <c r="N330" s="1"/>
  <c r="P330" s="1"/>
  <c r="O330" s="1"/>
  <c r="K330" s="1"/>
  <c r="H330" s="1"/>
  <c r="G322"/>
  <c r="G318"/>
  <c r="G314"/>
  <c r="G309"/>
  <c r="G251"/>
  <c r="Q251" s="1"/>
  <c r="G247"/>
  <c r="G243"/>
  <c r="Q243" s="1"/>
  <c r="G239"/>
  <c r="Z236"/>
  <c r="Z232"/>
  <c r="Z230"/>
  <c r="Z228"/>
  <c r="Z226"/>
  <c r="Z224"/>
  <c r="Z222"/>
  <c r="Z220"/>
  <c r="Z218"/>
  <c r="G202"/>
  <c r="G178"/>
  <c r="Q178" s="1"/>
  <c r="G174"/>
  <c r="G170"/>
  <c r="Q170" s="1"/>
  <c r="G165"/>
  <c r="G104"/>
  <c r="G100"/>
  <c r="G96"/>
  <c r="Z88"/>
  <c r="Z86"/>
  <c r="Z84"/>
  <c r="Z82"/>
  <c r="Z80"/>
  <c r="Z78"/>
  <c r="Z76"/>
  <c r="Z74"/>
  <c r="Z57"/>
  <c r="G33"/>
  <c r="G29"/>
  <c r="G25"/>
  <c r="K17"/>
  <c r="H4"/>
  <c r="K4"/>
  <c r="E828" i="6"/>
  <c r="I828"/>
  <c r="C826"/>
  <c r="G826"/>
  <c r="C781"/>
  <c r="G781"/>
  <c r="L781" s="1"/>
  <c r="M781" s="1"/>
  <c r="N781" s="1"/>
  <c r="P781" s="1"/>
  <c r="O781" s="1"/>
  <c r="K781" s="1"/>
  <c r="H781" s="1"/>
  <c r="E778"/>
  <c r="W830"/>
  <c r="AC830" s="1"/>
  <c r="E775"/>
  <c r="I775"/>
  <c r="W827"/>
  <c r="AC827" s="1"/>
  <c r="E728"/>
  <c r="I728"/>
  <c r="E724"/>
  <c r="I724"/>
  <c r="C676"/>
  <c r="G676"/>
  <c r="E674"/>
  <c r="I674"/>
  <c r="W726"/>
  <c r="AC726" s="1"/>
  <c r="C672"/>
  <c r="G672"/>
  <c r="E670"/>
  <c r="I670"/>
  <c r="W722"/>
  <c r="AC722" s="1"/>
  <c r="E623"/>
  <c r="I623"/>
  <c r="E619"/>
  <c r="I619"/>
  <c r="E570"/>
  <c r="W622"/>
  <c r="AC622" s="1"/>
  <c r="E566"/>
  <c r="W618"/>
  <c r="AC618" s="1"/>
  <c r="C469"/>
  <c r="G469"/>
  <c r="D469" s="1"/>
  <c r="E467"/>
  <c r="I467"/>
  <c r="C465"/>
  <c r="G465"/>
  <c r="D465" s="1"/>
  <c r="E463"/>
  <c r="I463"/>
  <c r="W515"/>
  <c r="AC515" s="1"/>
  <c r="E414"/>
  <c r="I414"/>
  <c r="E365"/>
  <c r="W417"/>
  <c r="AC417" s="1"/>
  <c r="C361"/>
  <c r="G361"/>
  <c r="L361" s="1"/>
  <c r="M361" s="1"/>
  <c r="N361" s="1"/>
  <c r="P361" s="1"/>
  <c r="O361" s="1"/>
  <c r="K361" s="1"/>
  <c r="H361" s="1"/>
  <c r="C359"/>
  <c r="G359"/>
  <c r="L359" s="1"/>
  <c r="M359" s="1"/>
  <c r="N359" s="1"/>
  <c r="P359" s="1"/>
  <c r="O359" s="1"/>
  <c r="K359" s="1"/>
  <c r="H359" s="1"/>
  <c r="E52"/>
  <c r="I52"/>
  <c r="W104"/>
  <c r="AC104" s="1"/>
  <c r="W52"/>
  <c r="AC52" s="1"/>
  <c r="E48"/>
  <c r="I48"/>
  <c r="W100"/>
  <c r="AC100" s="1"/>
  <c r="W48"/>
  <c r="AC48" s="1"/>
  <c r="C377" i="5"/>
  <c r="C375"/>
  <c r="C373"/>
  <c r="C371"/>
  <c r="C369"/>
  <c r="C367"/>
  <c r="C365"/>
  <c r="C305"/>
  <c r="Z304"/>
  <c r="C303"/>
  <c r="Z302"/>
  <c r="C301"/>
  <c r="Z300"/>
  <c r="C299"/>
  <c r="Z298"/>
  <c r="C297"/>
  <c r="Z296"/>
  <c r="C295"/>
  <c r="C293"/>
  <c r="C233"/>
  <c r="C231"/>
  <c r="C229"/>
  <c r="C227"/>
  <c r="C225"/>
  <c r="C223"/>
  <c r="C221"/>
  <c r="C215"/>
  <c r="C213"/>
  <c r="C211"/>
  <c r="C209"/>
  <c r="C207"/>
  <c r="C205"/>
  <c r="C203"/>
  <c r="C160"/>
  <c r="C158"/>
  <c r="C156"/>
  <c r="C154"/>
  <c r="C152"/>
  <c r="C150"/>
  <c r="C142"/>
  <c r="C140"/>
  <c r="C138"/>
  <c r="C136"/>
  <c r="C134"/>
  <c r="C132"/>
  <c r="C89"/>
  <c r="C87"/>
  <c r="C85"/>
  <c r="C83"/>
  <c r="C81"/>
  <c r="C79"/>
  <c r="C77"/>
  <c r="C70"/>
  <c r="C68"/>
  <c r="C66"/>
  <c r="C64"/>
  <c r="C62"/>
  <c r="C60"/>
  <c r="U23"/>
  <c r="Z21"/>
  <c r="C416" i="6"/>
  <c r="G416"/>
  <c r="D416" s="1"/>
  <c r="C412"/>
  <c r="G412"/>
  <c r="C411"/>
  <c r="G411"/>
  <c r="L411" s="1"/>
  <c r="M411" s="1"/>
  <c r="N411" s="1"/>
  <c r="P411" s="1"/>
  <c r="O411" s="1"/>
  <c r="K411" s="1"/>
  <c r="H411" s="1"/>
  <c r="C410"/>
  <c r="G410"/>
  <c r="I358"/>
  <c r="W410"/>
  <c r="AC410" s="1"/>
  <c r="F18" i="5"/>
  <c r="E859" i="6"/>
  <c r="E858"/>
  <c r="E857"/>
  <c r="E856"/>
  <c r="E855"/>
  <c r="E854"/>
  <c r="E853"/>
  <c r="E852"/>
  <c r="E833"/>
  <c r="E830"/>
  <c r="E829"/>
  <c r="E826"/>
  <c r="E777"/>
  <c r="E755"/>
  <c r="E754"/>
  <c r="E753"/>
  <c r="E752"/>
  <c r="E751"/>
  <c r="E750"/>
  <c r="E749"/>
  <c r="E748"/>
  <c r="E729"/>
  <c r="E726"/>
  <c r="E725"/>
  <c r="E722"/>
  <c r="E676"/>
  <c r="E675"/>
  <c r="E672"/>
  <c r="E671"/>
  <c r="E625"/>
  <c r="E624"/>
  <c r="E621"/>
  <c r="E620"/>
  <c r="E573"/>
  <c r="E572"/>
  <c r="D570"/>
  <c r="E569"/>
  <c r="E568"/>
  <c r="D566"/>
  <c r="E547"/>
  <c r="E545"/>
  <c r="E543"/>
  <c r="E541"/>
  <c r="E521"/>
  <c r="E515"/>
  <c r="E469"/>
  <c r="E468"/>
  <c r="D466"/>
  <c r="E465"/>
  <c r="E464"/>
  <c r="D462"/>
  <c r="E416"/>
  <c r="E415"/>
  <c r="E412"/>
  <c r="E410"/>
  <c r="E364"/>
  <c r="E363"/>
  <c r="E360"/>
  <c r="E359"/>
  <c r="I313"/>
  <c r="E311"/>
  <c r="G311"/>
  <c r="E310"/>
  <c r="I309"/>
  <c r="D260"/>
  <c r="D256"/>
  <c r="G261"/>
  <c r="L261" s="1"/>
  <c r="M261" s="1"/>
  <c r="N261" s="1"/>
  <c r="P261" s="1"/>
  <c r="O261" s="1"/>
  <c r="K261" s="1"/>
  <c r="H261" s="1"/>
  <c r="E260"/>
  <c r="E259"/>
  <c r="I258"/>
  <c r="G257"/>
  <c r="L257" s="1"/>
  <c r="M257" s="1"/>
  <c r="N257" s="1"/>
  <c r="P257" s="1"/>
  <c r="O257" s="1"/>
  <c r="K257" s="1"/>
  <c r="H257" s="1"/>
  <c r="E256"/>
  <c r="I254"/>
  <c r="E229"/>
  <c r="I209"/>
  <c r="W207"/>
  <c r="AC207" s="1"/>
  <c r="E207"/>
  <c r="G207"/>
  <c r="E206"/>
  <c r="I205"/>
  <c r="E157"/>
  <c r="G157"/>
  <c r="D157" s="1"/>
  <c r="E156"/>
  <c r="I155"/>
  <c r="D154"/>
  <c r="E153"/>
  <c r="G153"/>
  <c r="D153" s="1"/>
  <c r="E152"/>
  <c r="E151"/>
  <c r="G151"/>
  <c r="D151" s="1"/>
  <c r="E150"/>
  <c r="W105"/>
  <c r="AC105" s="1"/>
  <c r="E105"/>
  <c r="G105"/>
  <c r="E104"/>
  <c r="I103"/>
  <c r="W101"/>
  <c r="AC101" s="1"/>
  <c r="E101"/>
  <c r="G101"/>
  <c r="E100"/>
  <c r="G98"/>
  <c r="L98" s="1"/>
  <c r="M98" s="1"/>
  <c r="N98" s="1"/>
  <c r="P98" s="1"/>
  <c r="O98" s="1"/>
  <c r="K98" s="1"/>
  <c r="H98" s="1"/>
  <c r="G52"/>
  <c r="I51"/>
  <c r="I50"/>
  <c r="C50"/>
  <c r="G48"/>
  <c r="I47"/>
  <c r="I46"/>
  <c r="C46"/>
  <c r="K25"/>
  <c r="K23"/>
  <c r="K21"/>
  <c r="K19"/>
  <c r="K17"/>
  <c r="K15"/>
  <c r="K13"/>
  <c r="K11"/>
  <c r="K9"/>
  <c r="K7"/>
  <c r="K5"/>
  <c r="K3"/>
  <c r="E255"/>
  <c r="E203"/>
  <c r="G203"/>
  <c r="E202"/>
  <c r="E411"/>
  <c r="E385"/>
  <c r="E384"/>
  <c r="E358"/>
  <c r="E333"/>
  <c r="E332"/>
  <c r="E307"/>
  <c r="G307"/>
  <c r="E306"/>
  <c r="D254"/>
  <c r="D150"/>
  <c r="E125"/>
  <c r="E124"/>
  <c r="E99"/>
  <c r="G99"/>
  <c r="E98"/>
  <c r="E73"/>
  <c r="B37" i="3"/>
  <c r="B36"/>
  <c r="B35"/>
  <c r="B34"/>
  <c r="F110" i="5"/>
  <c r="D73"/>
  <c r="T73" s="1"/>
  <c r="T91"/>
  <c r="F38"/>
  <c r="D19"/>
  <c r="T19" s="1"/>
  <c r="B851" i="6"/>
  <c r="E851" s="1"/>
  <c r="B825"/>
  <c r="E825" s="1"/>
  <c r="B747"/>
  <c r="E747" s="1"/>
  <c r="B721"/>
  <c r="B643"/>
  <c r="B617"/>
  <c r="B539"/>
  <c r="B513"/>
  <c r="B850"/>
  <c r="B824"/>
  <c r="B746"/>
  <c r="B720"/>
  <c r="B642"/>
  <c r="B616"/>
  <c r="B538"/>
  <c r="B512"/>
  <c r="B849"/>
  <c r="E849" s="1"/>
  <c r="B823"/>
  <c r="E823" s="1"/>
  <c r="B745"/>
  <c r="E745" s="1"/>
  <c r="B719"/>
  <c r="B641"/>
  <c r="B615"/>
  <c r="B537"/>
  <c r="B511"/>
  <c r="B848"/>
  <c r="E848" s="1"/>
  <c r="B822"/>
  <c r="B744"/>
  <c r="B718"/>
  <c r="B640"/>
  <c r="B614"/>
  <c r="B536"/>
  <c r="B510"/>
  <c r="B847"/>
  <c r="E847" s="1"/>
  <c r="B821"/>
  <c r="E821" s="1"/>
  <c r="B743"/>
  <c r="E743" s="1"/>
  <c r="B717"/>
  <c r="B639"/>
  <c r="B613"/>
  <c r="B535"/>
  <c r="B509"/>
  <c r="B846"/>
  <c r="E846" s="1"/>
  <c r="B820"/>
  <c r="B742"/>
  <c r="B716"/>
  <c r="B638"/>
  <c r="B612"/>
  <c r="B534"/>
  <c r="B508"/>
  <c r="B845"/>
  <c r="E845" s="1"/>
  <c r="B819"/>
  <c r="E819" s="1"/>
  <c r="B741"/>
  <c r="E741" s="1"/>
  <c r="B715"/>
  <c r="B637"/>
  <c r="B611"/>
  <c r="B533"/>
  <c r="B507"/>
  <c r="B844"/>
  <c r="E844" s="1"/>
  <c r="B818"/>
  <c r="B740"/>
  <c r="B714"/>
  <c r="B636"/>
  <c r="B610"/>
  <c r="B532"/>
  <c r="B506"/>
  <c r="B843"/>
  <c r="E843" s="1"/>
  <c r="B817"/>
  <c r="E817" s="1"/>
  <c r="B739"/>
  <c r="E739" s="1"/>
  <c r="B713"/>
  <c r="B635"/>
  <c r="B609"/>
  <c r="B531"/>
  <c r="B505"/>
  <c r="B842"/>
  <c r="B816"/>
  <c r="E816" s="1"/>
  <c r="B738"/>
  <c r="B712"/>
  <c r="B634"/>
  <c r="B608"/>
  <c r="B530"/>
  <c r="B504"/>
  <c r="B789"/>
  <c r="B685"/>
  <c r="B581"/>
  <c r="B477"/>
  <c r="B788"/>
  <c r="B684"/>
  <c r="B580"/>
  <c r="E580" s="1"/>
  <c r="B476"/>
  <c r="B787"/>
  <c r="B683"/>
  <c r="B579"/>
  <c r="B475"/>
  <c r="B786"/>
  <c r="B682"/>
  <c r="B578"/>
  <c r="E578" s="1"/>
  <c r="B474"/>
  <c r="B785"/>
  <c r="B681"/>
  <c r="B577"/>
  <c r="B473"/>
  <c r="B784"/>
  <c r="E784" s="1"/>
  <c r="B680"/>
  <c r="B576"/>
  <c r="E576" s="1"/>
  <c r="B472"/>
  <c r="B435"/>
  <c r="B331"/>
  <c r="B227"/>
  <c r="B123"/>
  <c r="B434"/>
  <c r="B330"/>
  <c r="B226"/>
  <c r="B122"/>
  <c r="B433"/>
  <c r="B329"/>
  <c r="B225"/>
  <c r="B121"/>
  <c r="B432"/>
  <c r="B328"/>
  <c r="B224"/>
  <c r="B120"/>
  <c r="B431"/>
  <c r="B327"/>
  <c r="B223"/>
  <c r="B119"/>
  <c r="B430"/>
  <c r="B326"/>
  <c r="B222"/>
  <c r="B118"/>
  <c r="B429"/>
  <c r="B325"/>
  <c r="B221"/>
  <c r="B117"/>
  <c r="B428"/>
  <c r="B324"/>
  <c r="B220"/>
  <c r="B116"/>
  <c r="B427"/>
  <c r="B323"/>
  <c r="B219"/>
  <c r="B115"/>
  <c r="B426"/>
  <c r="B322"/>
  <c r="B218"/>
  <c r="B114"/>
  <c r="B799"/>
  <c r="B773"/>
  <c r="B695"/>
  <c r="B669"/>
  <c r="B591"/>
  <c r="B565"/>
  <c r="B487"/>
  <c r="B461"/>
  <c r="B798"/>
  <c r="B772"/>
  <c r="B694"/>
  <c r="B668"/>
  <c r="B590"/>
  <c r="E590" s="1"/>
  <c r="B564"/>
  <c r="B486"/>
  <c r="E486" s="1"/>
  <c r="B460"/>
  <c r="B797"/>
  <c r="B771"/>
  <c r="B693"/>
  <c r="B667"/>
  <c r="B589"/>
  <c r="B563"/>
  <c r="B485"/>
  <c r="B459"/>
  <c r="B796"/>
  <c r="B770"/>
  <c r="B692"/>
  <c r="B666"/>
  <c r="B588"/>
  <c r="E588" s="1"/>
  <c r="B562"/>
  <c r="B484"/>
  <c r="E484" s="1"/>
  <c r="B458"/>
  <c r="B795"/>
  <c r="B769"/>
  <c r="B691"/>
  <c r="B665"/>
  <c r="B587"/>
  <c r="B561"/>
  <c r="B483"/>
  <c r="B457"/>
  <c r="B794"/>
  <c r="B768"/>
  <c r="B690"/>
  <c r="B664"/>
  <c r="B586"/>
  <c r="E586" s="1"/>
  <c r="B560"/>
  <c r="B482"/>
  <c r="E482" s="1"/>
  <c r="B456"/>
  <c r="B793"/>
  <c r="B767"/>
  <c r="E767" s="1"/>
  <c r="B689"/>
  <c r="B663"/>
  <c r="B585"/>
  <c r="B559"/>
  <c r="B481"/>
  <c r="B455"/>
  <c r="B792"/>
  <c r="B766"/>
  <c r="B688"/>
  <c r="B662"/>
  <c r="B584"/>
  <c r="E584" s="1"/>
  <c r="B558"/>
  <c r="B480"/>
  <c r="E480" s="1"/>
  <c r="B454"/>
  <c r="B791"/>
  <c r="B765"/>
  <c r="E765" s="1"/>
  <c r="B687"/>
  <c r="B661"/>
  <c r="B583"/>
  <c r="B557"/>
  <c r="B479"/>
  <c r="B453"/>
  <c r="B790"/>
  <c r="B764"/>
  <c r="B686"/>
  <c r="B660"/>
  <c r="B582"/>
  <c r="E582" s="1"/>
  <c r="B556"/>
  <c r="B478"/>
  <c r="E478" s="1"/>
  <c r="B452"/>
  <c r="B763"/>
  <c r="E763" s="1"/>
  <c r="B659"/>
  <c r="B555"/>
  <c r="E555" s="1"/>
  <c r="B451"/>
  <c r="B762"/>
  <c r="E762" s="1"/>
  <c r="B658"/>
  <c r="B554"/>
  <c r="E554" s="1"/>
  <c r="B450"/>
  <c r="B761"/>
  <c r="B657"/>
  <c r="B553"/>
  <c r="B449"/>
  <c r="B760"/>
  <c r="E760" s="1"/>
  <c r="B656"/>
  <c r="B552"/>
  <c r="B448"/>
  <c r="B759"/>
  <c r="E759" s="1"/>
  <c r="B655"/>
  <c r="B551"/>
  <c r="E551" s="1"/>
  <c r="B447"/>
  <c r="B758"/>
  <c r="E758" s="1"/>
  <c r="B654"/>
  <c r="B550"/>
  <c r="B446"/>
  <c r="B409"/>
  <c r="B305"/>
  <c r="B201"/>
  <c r="B97"/>
  <c r="B408"/>
  <c r="B304"/>
  <c r="B200"/>
  <c r="B96"/>
  <c r="B407"/>
  <c r="B303"/>
  <c r="B199"/>
  <c r="B95"/>
  <c r="B406"/>
  <c r="B302"/>
  <c r="B198"/>
  <c r="B94"/>
  <c r="B405"/>
  <c r="B301"/>
  <c r="B197"/>
  <c r="B93"/>
  <c r="B404"/>
  <c r="B300"/>
  <c r="B196"/>
  <c r="B92"/>
  <c r="B403"/>
  <c r="B299"/>
  <c r="B195"/>
  <c r="B91"/>
  <c r="B402"/>
  <c r="B298"/>
  <c r="B194"/>
  <c r="B90"/>
  <c r="B401"/>
  <c r="B297"/>
  <c r="B193"/>
  <c r="B89"/>
  <c r="B400"/>
  <c r="B296"/>
  <c r="B192"/>
  <c r="B88"/>
  <c r="B425"/>
  <c r="B399"/>
  <c r="B321"/>
  <c r="B295"/>
  <c r="B217"/>
  <c r="B191"/>
  <c r="B113"/>
  <c r="B87"/>
  <c r="B424"/>
  <c r="B398"/>
  <c r="B320"/>
  <c r="B294"/>
  <c r="B216"/>
  <c r="B190"/>
  <c r="B112"/>
  <c r="B86"/>
  <c r="B423"/>
  <c r="B397"/>
  <c r="B319"/>
  <c r="B293"/>
  <c r="B215"/>
  <c r="B189"/>
  <c r="B111"/>
  <c r="B85"/>
  <c r="B422"/>
  <c r="B396"/>
  <c r="B318"/>
  <c r="B292"/>
  <c r="B214"/>
  <c r="B188"/>
  <c r="B110"/>
  <c r="B84"/>
  <c r="B421"/>
  <c r="B395"/>
  <c r="B317"/>
  <c r="B291"/>
  <c r="B213"/>
  <c r="B187"/>
  <c r="B109"/>
  <c r="B83"/>
  <c r="B420"/>
  <c r="B394"/>
  <c r="B316"/>
  <c r="B290"/>
  <c r="B212"/>
  <c r="B186"/>
  <c r="B108"/>
  <c r="B82"/>
  <c r="B841"/>
  <c r="E841" s="1"/>
  <c r="B815"/>
  <c r="E815" s="1"/>
  <c r="B737"/>
  <c r="E737" s="1"/>
  <c r="B711"/>
  <c r="B633"/>
  <c r="B607"/>
  <c r="B529"/>
  <c r="B503"/>
  <c r="B840"/>
  <c r="E840" s="1"/>
  <c r="B814"/>
  <c r="B736"/>
  <c r="E736" s="1"/>
  <c r="B710"/>
  <c r="B632"/>
  <c r="B606"/>
  <c r="E606" s="1"/>
  <c r="B528"/>
  <c r="B502"/>
  <c r="B839"/>
  <c r="E839" s="1"/>
  <c r="B813"/>
  <c r="B735"/>
  <c r="E735" s="1"/>
  <c r="B709"/>
  <c r="B631"/>
  <c r="B605"/>
  <c r="B527"/>
  <c r="B501"/>
  <c r="B838"/>
  <c r="E838" s="1"/>
  <c r="B812"/>
  <c r="E812" s="1"/>
  <c r="B734"/>
  <c r="E734" s="1"/>
  <c r="B708"/>
  <c r="B630"/>
  <c r="B604"/>
  <c r="B526"/>
  <c r="B500"/>
  <c r="B837"/>
  <c r="E837" s="1"/>
  <c r="B811"/>
  <c r="B733"/>
  <c r="E733" s="1"/>
  <c r="B707"/>
  <c r="B629"/>
  <c r="B603"/>
  <c r="B525"/>
  <c r="B499"/>
  <c r="B836"/>
  <c r="E836" s="1"/>
  <c r="B810"/>
  <c r="E810" s="1"/>
  <c r="B732"/>
  <c r="E732" s="1"/>
  <c r="B706"/>
  <c r="B628"/>
  <c r="E628" s="1"/>
  <c r="B602"/>
  <c r="B524"/>
  <c r="E524" s="1"/>
  <c r="B498"/>
  <c r="B383"/>
  <c r="B357"/>
  <c r="B279"/>
  <c r="B253"/>
  <c r="B175"/>
  <c r="B149"/>
  <c r="B71"/>
  <c r="B45"/>
  <c r="B382"/>
  <c r="B356"/>
  <c r="B278"/>
  <c r="B252"/>
  <c r="B174"/>
  <c r="B148"/>
  <c r="B70"/>
  <c r="B44"/>
  <c r="B381"/>
  <c r="B355"/>
  <c r="B277"/>
  <c r="B251"/>
  <c r="B173"/>
  <c r="B147"/>
  <c r="B69"/>
  <c r="B43"/>
  <c r="B380"/>
  <c r="B354"/>
  <c r="B276"/>
  <c r="B250"/>
  <c r="B172"/>
  <c r="B146"/>
  <c r="B68"/>
  <c r="B42"/>
  <c r="B379"/>
  <c r="B353"/>
  <c r="B275"/>
  <c r="B249"/>
  <c r="B171"/>
  <c r="B145"/>
  <c r="B67"/>
  <c r="B41"/>
  <c r="B378"/>
  <c r="B352"/>
  <c r="B274"/>
  <c r="B248"/>
  <c r="B170"/>
  <c r="B144"/>
  <c r="B66"/>
  <c r="B40"/>
  <c r="B377"/>
  <c r="B351"/>
  <c r="B273"/>
  <c r="B247"/>
  <c r="B169"/>
  <c r="B143"/>
  <c r="B65"/>
  <c r="B39"/>
  <c r="B376"/>
  <c r="B350"/>
  <c r="B272"/>
  <c r="B246"/>
  <c r="B168"/>
  <c r="B142"/>
  <c r="B64"/>
  <c r="B38"/>
  <c r="B375"/>
  <c r="B349"/>
  <c r="B271"/>
  <c r="B245"/>
  <c r="B167"/>
  <c r="B141"/>
  <c r="B63"/>
  <c r="B37"/>
  <c r="B374"/>
  <c r="B348"/>
  <c r="B270"/>
  <c r="B244"/>
  <c r="B166"/>
  <c r="B140"/>
  <c r="B62"/>
  <c r="B36"/>
  <c r="B373"/>
  <c r="B347"/>
  <c r="B269"/>
  <c r="B243"/>
  <c r="B165"/>
  <c r="B139"/>
  <c r="B61"/>
  <c r="B35"/>
  <c r="B372"/>
  <c r="B346"/>
  <c r="B268"/>
  <c r="B242"/>
  <c r="B164"/>
  <c r="B138"/>
  <c r="B60"/>
  <c r="B34"/>
  <c r="B371"/>
  <c r="B345"/>
  <c r="B267"/>
  <c r="B241"/>
  <c r="B163"/>
  <c r="B137"/>
  <c r="B59"/>
  <c r="B33"/>
  <c r="B370"/>
  <c r="B344"/>
  <c r="B266"/>
  <c r="B240"/>
  <c r="B162"/>
  <c r="B136"/>
  <c r="B58"/>
  <c r="B32"/>
  <c r="B369"/>
  <c r="B343"/>
  <c r="B265"/>
  <c r="B239"/>
  <c r="B161"/>
  <c r="B135"/>
  <c r="B57"/>
  <c r="B31"/>
  <c r="B368"/>
  <c r="B342"/>
  <c r="B264"/>
  <c r="B238"/>
  <c r="B160"/>
  <c r="B134"/>
  <c r="B56"/>
  <c r="B30"/>
  <c r="F578" i="5"/>
  <c r="A577"/>
  <c r="D577"/>
  <c r="A541"/>
  <c r="D541"/>
  <c r="F542"/>
  <c r="F506"/>
  <c r="A505"/>
  <c r="D505"/>
  <c r="A469"/>
  <c r="D469"/>
  <c r="F470"/>
  <c r="F434"/>
  <c r="A433"/>
  <c r="D433"/>
  <c r="A397"/>
  <c r="D397"/>
  <c r="F398"/>
  <c r="D361"/>
  <c r="A361"/>
  <c r="A325"/>
  <c r="D325"/>
  <c r="F326"/>
  <c r="A271"/>
  <c r="D271"/>
  <c r="U275"/>
  <c r="A235"/>
  <c r="D235"/>
  <c r="F236"/>
  <c r="U239"/>
  <c r="A199"/>
  <c r="D199"/>
  <c r="U203"/>
  <c r="A163"/>
  <c r="D163"/>
  <c r="U167"/>
  <c r="A127"/>
  <c r="D127"/>
  <c r="U131"/>
  <c r="Q35"/>
  <c r="Q53"/>
  <c r="Y53" s="1"/>
  <c r="Q107"/>
  <c r="Q125"/>
  <c r="Y125" s="1"/>
  <c r="Q179"/>
  <c r="Q197"/>
  <c r="Y197" s="1"/>
  <c r="Q323"/>
  <c r="Q341"/>
  <c r="Q269"/>
  <c r="Q395"/>
  <c r="Q413"/>
  <c r="Y413" s="1"/>
  <c r="Q467"/>
  <c r="Q485"/>
  <c r="Y485" s="1"/>
  <c r="Q539"/>
  <c r="Q557"/>
  <c r="Y557" s="1"/>
  <c r="Q33"/>
  <c r="Q51"/>
  <c r="Y51" s="1"/>
  <c r="Q105"/>
  <c r="Q123"/>
  <c r="Y123" s="1"/>
  <c r="Q177"/>
  <c r="Q195"/>
  <c r="Y195" s="1"/>
  <c r="Q249"/>
  <c r="Q321"/>
  <c r="Q339"/>
  <c r="Y339" s="1"/>
  <c r="Q267"/>
  <c r="Y267" s="1"/>
  <c r="Q393"/>
  <c r="Q411"/>
  <c r="Y411" s="1"/>
  <c r="Q465"/>
  <c r="Q483"/>
  <c r="Y483" s="1"/>
  <c r="Q537"/>
  <c r="Q555"/>
  <c r="Y555" s="1"/>
  <c r="Q31"/>
  <c r="Q49"/>
  <c r="Y49" s="1"/>
  <c r="Q103"/>
  <c r="Q121"/>
  <c r="Y121" s="1"/>
  <c r="Q175"/>
  <c r="Q193"/>
  <c r="Y193" s="1"/>
  <c r="Q247"/>
  <c r="Q319"/>
  <c r="Q337"/>
  <c r="Y337" s="1"/>
  <c r="Q265"/>
  <c r="Y265" s="1"/>
  <c r="Q391"/>
  <c r="Q409"/>
  <c r="Y409" s="1"/>
  <c r="Q463"/>
  <c r="Q481"/>
  <c r="Y481" s="1"/>
  <c r="Q535"/>
  <c r="Q553"/>
  <c r="Y553" s="1"/>
  <c r="Q29"/>
  <c r="Q47"/>
  <c r="Y47" s="1"/>
  <c r="Q101"/>
  <c r="Q119"/>
  <c r="Y119" s="1"/>
  <c r="Q173"/>
  <c r="Q191"/>
  <c r="Y191" s="1"/>
  <c r="Q317"/>
  <c r="Q335"/>
  <c r="Y335" s="1"/>
  <c r="Q263"/>
  <c r="Y263" s="1"/>
  <c r="Q389"/>
  <c r="Q407"/>
  <c r="Y407" s="1"/>
  <c r="Q461"/>
  <c r="Q479"/>
  <c r="Y479" s="1"/>
  <c r="Q533"/>
  <c r="Q551"/>
  <c r="Y551" s="1"/>
  <c r="Q27"/>
  <c r="Q45"/>
  <c r="Y45" s="1"/>
  <c r="Q99"/>
  <c r="Q117"/>
  <c r="Y117" s="1"/>
  <c r="Q171"/>
  <c r="Q189"/>
  <c r="Y189" s="1"/>
  <c r="Q261"/>
  <c r="Y261" s="1"/>
  <c r="Q333"/>
  <c r="Q387"/>
  <c r="Q315"/>
  <c r="Q405"/>
  <c r="Y405" s="1"/>
  <c r="Q459"/>
  <c r="Q477"/>
  <c r="Y477" s="1"/>
  <c r="Q531"/>
  <c r="Q549"/>
  <c r="Y549" s="1"/>
  <c r="Q25"/>
  <c r="Q43"/>
  <c r="Y43" s="1"/>
  <c r="Q97"/>
  <c r="Q115"/>
  <c r="Y115" s="1"/>
  <c r="Q169"/>
  <c r="Q187"/>
  <c r="Y187" s="1"/>
  <c r="Q241"/>
  <c r="Q259"/>
  <c r="Y259" s="1"/>
  <c r="Q331"/>
  <c r="Y331" s="1"/>
  <c r="Q385"/>
  <c r="Q313"/>
  <c r="Q403"/>
  <c r="Y403" s="1"/>
  <c r="Q457"/>
  <c r="Q475"/>
  <c r="Y475" s="1"/>
  <c r="Q529"/>
  <c r="Q547"/>
  <c r="Y547" s="1"/>
  <c r="Q23"/>
  <c r="Q41"/>
  <c r="Y41" s="1"/>
  <c r="Q95"/>
  <c r="Q113"/>
  <c r="Y113" s="1"/>
  <c r="Q167"/>
  <c r="Q185"/>
  <c r="Y185" s="1"/>
  <c r="Q239"/>
  <c r="Q257"/>
  <c r="Y257" s="1"/>
  <c r="Q329"/>
  <c r="Y329" s="1"/>
  <c r="Q383"/>
  <c r="Q311"/>
  <c r="Q401"/>
  <c r="Y401" s="1"/>
  <c r="Q455"/>
  <c r="Q473"/>
  <c r="Y473" s="1"/>
  <c r="Q527"/>
  <c r="Q545"/>
  <c r="Y545" s="1"/>
  <c r="Q21"/>
  <c r="Q39"/>
  <c r="Y39" s="1"/>
  <c r="Q93"/>
  <c r="Q111"/>
  <c r="Y111" s="1"/>
  <c r="Q165"/>
  <c r="Q183"/>
  <c r="Y183" s="1"/>
  <c r="Q237"/>
  <c r="Q255"/>
  <c r="Y255" s="1"/>
  <c r="Q327"/>
  <c r="Y327" s="1"/>
  <c r="Q381"/>
  <c r="Q309"/>
  <c r="Q399"/>
  <c r="Y399" s="1"/>
  <c r="Q453"/>
  <c r="Q471"/>
  <c r="Y471" s="1"/>
  <c r="Q525"/>
  <c r="Q543"/>
  <c r="Y543" s="1"/>
  <c r="Q593"/>
  <c r="Q591"/>
  <c r="Q589"/>
  <c r="Q587"/>
  <c r="Q585"/>
  <c r="Q583"/>
  <c r="Q581"/>
  <c r="Q579"/>
  <c r="Q520"/>
  <c r="Q518"/>
  <c r="Q516"/>
  <c r="Q514"/>
  <c r="Q512"/>
  <c r="Q510"/>
  <c r="Q508"/>
  <c r="Q506"/>
  <c r="S483"/>
  <c r="S479"/>
  <c r="S471"/>
  <c r="S407"/>
  <c r="S399"/>
  <c r="S337"/>
  <c r="S329"/>
  <c r="A559"/>
  <c r="D559"/>
  <c r="U563"/>
  <c r="A523"/>
  <c r="D523"/>
  <c r="F524"/>
  <c r="U527"/>
  <c r="A487"/>
  <c r="D487"/>
  <c r="U491"/>
  <c r="D451"/>
  <c r="U455"/>
  <c r="A451"/>
  <c r="T451" s="1"/>
  <c r="A415"/>
  <c r="D415"/>
  <c r="U419"/>
  <c r="A379"/>
  <c r="F380"/>
  <c r="D379"/>
  <c r="U383"/>
  <c r="A343"/>
  <c r="D343"/>
  <c r="U347"/>
  <c r="D307"/>
  <c r="U311"/>
  <c r="A307"/>
  <c r="T307" s="1"/>
  <c r="A289"/>
  <c r="D289"/>
  <c r="F254"/>
  <c r="A253"/>
  <c r="D253"/>
  <c r="A217"/>
  <c r="D217"/>
  <c r="F218"/>
  <c r="F182"/>
  <c r="A181"/>
  <c r="D181"/>
  <c r="A145"/>
  <c r="D145"/>
  <c r="F146"/>
  <c r="Q34"/>
  <c r="Q52"/>
  <c r="Q106"/>
  <c r="Q124"/>
  <c r="Y124" s="1"/>
  <c r="Q196"/>
  <c r="Q250"/>
  <c r="Q268"/>
  <c r="Y268" s="1"/>
  <c r="Q394"/>
  <c r="Q412"/>
  <c r="Y412" s="1"/>
  <c r="Q322"/>
  <c r="Q340"/>
  <c r="Y340" s="1"/>
  <c r="Q466"/>
  <c r="Q484"/>
  <c r="Y484" s="1"/>
  <c r="Q538"/>
  <c r="Q556"/>
  <c r="Y556" s="1"/>
  <c r="Q32"/>
  <c r="Q50"/>
  <c r="Q104"/>
  <c r="Q122"/>
  <c r="Y122" s="1"/>
  <c r="Q176"/>
  <c r="Q194"/>
  <c r="Q248"/>
  <c r="Q266"/>
  <c r="Y266" s="1"/>
  <c r="Q392"/>
  <c r="Q410"/>
  <c r="Y410" s="1"/>
  <c r="Q320"/>
  <c r="Q338"/>
  <c r="Q464"/>
  <c r="Q482"/>
  <c r="Y482" s="1"/>
  <c r="Q536"/>
  <c r="Q554"/>
  <c r="Y554" s="1"/>
  <c r="Q30"/>
  <c r="Q48"/>
  <c r="Q102"/>
  <c r="Q120"/>
  <c r="Y120" s="1"/>
  <c r="Q174"/>
  <c r="Q192"/>
  <c r="Q246"/>
  <c r="Q264"/>
  <c r="Y264" s="1"/>
  <c r="Q390"/>
  <c r="Q408"/>
  <c r="Y408" s="1"/>
  <c r="Q318"/>
  <c r="Q336"/>
  <c r="Y336" s="1"/>
  <c r="Q462"/>
  <c r="Q480"/>
  <c r="Y480" s="1"/>
  <c r="Q534"/>
  <c r="Q552"/>
  <c r="Y552" s="1"/>
  <c r="Q28"/>
  <c r="Q46"/>
  <c r="Q100"/>
  <c r="Q118"/>
  <c r="Y118" s="1"/>
  <c r="Q172"/>
  <c r="Q190"/>
  <c r="Q244"/>
  <c r="Q262"/>
  <c r="Y262" s="1"/>
  <c r="Q316"/>
  <c r="Q406"/>
  <c r="Y406" s="1"/>
  <c r="Q460"/>
  <c r="Q334"/>
  <c r="Y334" s="1"/>
  <c r="Q388"/>
  <c r="Q478"/>
  <c r="Y478" s="1"/>
  <c r="Q532"/>
  <c r="Q550"/>
  <c r="Y550" s="1"/>
  <c r="Q26"/>
  <c r="Q44"/>
  <c r="Q98"/>
  <c r="Q116"/>
  <c r="Y116" s="1"/>
  <c r="Q188"/>
  <c r="Q242"/>
  <c r="Q260"/>
  <c r="Y260" s="1"/>
  <c r="Q386"/>
  <c r="Q404"/>
  <c r="Y404" s="1"/>
  <c r="Q314"/>
  <c r="Q332"/>
  <c r="Y332" s="1"/>
  <c r="Q458"/>
  <c r="Q476"/>
  <c r="Y476" s="1"/>
  <c r="Q530"/>
  <c r="Q548"/>
  <c r="Y548" s="1"/>
  <c r="Q24"/>
  <c r="Q42"/>
  <c r="Y42" s="1"/>
  <c r="Q96"/>
  <c r="Q114"/>
  <c r="Y114" s="1"/>
  <c r="Q168"/>
  <c r="Q186"/>
  <c r="Q240"/>
  <c r="Q258"/>
  <c r="Y258" s="1"/>
  <c r="Q384"/>
  <c r="Q402"/>
  <c r="Y402" s="1"/>
  <c r="Q312"/>
  <c r="Q330"/>
  <c r="Q456"/>
  <c r="Q474"/>
  <c r="Y474" s="1"/>
  <c r="Q528"/>
  <c r="Q546"/>
  <c r="Y546" s="1"/>
  <c r="Q40"/>
  <c r="Q58"/>
  <c r="Q112"/>
  <c r="Y112" s="1"/>
  <c r="Q130"/>
  <c r="Q184"/>
  <c r="Y184" s="1"/>
  <c r="Q202"/>
  <c r="Q256"/>
  <c r="Y256" s="1"/>
  <c r="Q274"/>
  <c r="Q400"/>
  <c r="Y400" s="1"/>
  <c r="Q418"/>
  <c r="Q328"/>
  <c r="Y328" s="1"/>
  <c r="Q346"/>
  <c r="Q472"/>
  <c r="Y472" s="1"/>
  <c r="Q490"/>
  <c r="Q544"/>
  <c r="Y544" s="1"/>
  <c r="Q562"/>
  <c r="Q38"/>
  <c r="Q56"/>
  <c r="Q110"/>
  <c r="Q128"/>
  <c r="Q182"/>
  <c r="Q200"/>
  <c r="Q254"/>
  <c r="Q272"/>
  <c r="Q398"/>
  <c r="Q416"/>
  <c r="Q326"/>
  <c r="Q344"/>
  <c r="Q470"/>
  <c r="Q488"/>
  <c r="Q542"/>
  <c r="Q560"/>
  <c r="A783" i="6"/>
  <c r="T783" s="1"/>
  <c r="D783"/>
  <c r="A757"/>
  <c r="T757" s="1"/>
  <c r="D757"/>
  <c r="U762"/>
  <c r="A679"/>
  <c r="T679" s="1"/>
  <c r="D679"/>
  <c r="A653"/>
  <c r="T653" s="1"/>
  <c r="D653"/>
  <c r="U658"/>
  <c r="A575"/>
  <c r="T575" s="1"/>
  <c r="D575"/>
  <c r="A549"/>
  <c r="T549" s="1"/>
  <c r="D549"/>
  <c r="U554"/>
  <c r="A471"/>
  <c r="T471" s="1"/>
  <c r="D471"/>
  <c r="A445"/>
  <c r="T445" s="1"/>
  <c r="D445"/>
  <c r="U450"/>
  <c r="Q592" i="5"/>
  <c r="Q590"/>
  <c r="Q588"/>
  <c r="Q586"/>
  <c r="Q584"/>
  <c r="Q582"/>
  <c r="Q580"/>
  <c r="Q578"/>
  <c r="S557"/>
  <c r="S555"/>
  <c r="S553"/>
  <c r="S551"/>
  <c r="S549"/>
  <c r="S547"/>
  <c r="S545"/>
  <c r="S543"/>
  <c r="Q521"/>
  <c r="Q519"/>
  <c r="Q517"/>
  <c r="Q515"/>
  <c r="Q513"/>
  <c r="Q511"/>
  <c r="Q509"/>
  <c r="Q507"/>
  <c r="S478"/>
  <c r="S474"/>
  <c r="S472"/>
  <c r="S470"/>
  <c r="S413"/>
  <c r="S409"/>
  <c r="S406"/>
  <c r="S405"/>
  <c r="S402"/>
  <c r="S401"/>
  <c r="S398"/>
  <c r="S339"/>
  <c r="S335"/>
  <c r="S334"/>
  <c r="S331"/>
  <c r="S327"/>
  <c r="S326"/>
  <c r="S267"/>
  <c r="S265"/>
  <c r="S263"/>
  <c r="A419" i="6"/>
  <c r="D419"/>
  <c r="T419"/>
  <c r="A393"/>
  <c r="D393"/>
  <c r="T393"/>
  <c r="T315"/>
  <c r="A315"/>
  <c r="D315"/>
  <c r="T289"/>
  <c r="A289"/>
  <c r="D289"/>
  <c r="T211"/>
  <c r="A211"/>
  <c r="D211"/>
  <c r="T185"/>
  <c r="A185"/>
  <c r="D185"/>
  <c r="T107"/>
  <c r="A107"/>
  <c r="D107"/>
  <c r="T81"/>
  <c r="A81"/>
  <c r="D81"/>
  <c r="Q52"/>
  <c r="Q104"/>
  <c r="Q156"/>
  <c r="Q208"/>
  <c r="Q260"/>
  <c r="Q312"/>
  <c r="Q364"/>
  <c r="Q416"/>
  <c r="Q468"/>
  <c r="Q520"/>
  <c r="Q676"/>
  <c r="Q728"/>
  <c r="Q572"/>
  <c r="Q624"/>
  <c r="Q780"/>
  <c r="Q832"/>
  <c r="Q50"/>
  <c r="Q102"/>
  <c r="Q154"/>
  <c r="Q206"/>
  <c r="Q258"/>
  <c r="Q310"/>
  <c r="Q362"/>
  <c r="Q414"/>
  <c r="Q466"/>
  <c r="Q518"/>
  <c r="Q674"/>
  <c r="Q726"/>
  <c r="Q570"/>
  <c r="Q622"/>
  <c r="Q778"/>
  <c r="Q830"/>
  <c r="Q48"/>
  <c r="Q100"/>
  <c r="Q152"/>
  <c r="Q204"/>
  <c r="Q256"/>
  <c r="Q308"/>
  <c r="Q412"/>
  <c r="Q360"/>
  <c r="Q464"/>
  <c r="Q516"/>
  <c r="Q672"/>
  <c r="Q724"/>
  <c r="Q568"/>
  <c r="Q620"/>
  <c r="Q776"/>
  <c r="Q828"/>
  <c r="Q46"/>
  <c r="Q98"/>
  <c r="Q150"/>
  <c r="Q202"/>
  <c r="Q254"/>
  <c r="Q306"/>
  <c r="Q358"/>
  <c r="Q410"/>
  <c r="Q462"/>
  <c r="Q514"/>
  <c r="Q670"/>
  <c r="Q722"/>
  <c r="Q566"/>
  <c r="Q618"/>
  <c r="Q774"/>
  <c r="Q826"/>
  <c r="L459" i="5"/>
  <c r="L458"/>
  <c r="L457"/>
  <c r="L456"/>
  <c r="L455"/>
  <c r="L453"/>
  <c r="C452"/>
  <c r="G452"/>
  <c r="Z431"/>
  <c r="Z430"/>
  <c r="Z429"/>
  <c r="Z428"/>
  <c r="Z427"/>
  <c r="Z426"/>
  <c r="Z425"/>
  <c r="C424"/>
  <c r="G424"/>
  <c r="C423"/>
  <c r="G423"/>
  <c r="Z422"/>
  <c r="C421"/>
  <c r="G421"/>
  <c r="Z420"/>
  <c r="C419"/>
  <c r="G419"/>
  <c r="C417"/>
  <c r="G417"/>
  <c r="L395"/>
  <c r="L393"/>
  <c r="L391"/>
  <c r="L389"/>
  <c r="L388"/>
  <c r="C382"/>
  <c r="G382"/>
  <c r="M377"/>
  <c r="N377" s="1"/>
  <c r="P377" s="1"/>
  <c r="O377" s="1"/>
  <c r="K377" s="1"/>
  <c r="H377" s="1"/>
  <c r="M375"/>
  <c r="N375" s="1"/>
  <c r="P375" s="1"/>
  <c r="O375" s="1"/>
  <c r="K375" s="1"/>
  <c r="H375" s="1"/>
  <c r="M373"/>
  <c r="N373" s="1"/>
  <c r="P373" s="1"/>
  <c r="O373" s="1"/>
  <c r="K373" s="1"/>
  <c r="H373" s="1"/>
  <c r="M371"/>
  <c r="N371" s="1"/>
  <c r="P371" s="1"/>
  <c r="O371" s="1"/>
  <c r="K371" s="1"/>
  <c r="H371" s="1"/>
  <c r="M369"/>
  <c r="N369" s="1"/>
  <c r="P369" s="1"/>
  <c r="O369" s="1"/>
  <c r="K369" s="1"/>
  <c r="H369" s="1"/>
  <c r="M367"/>
  <c r="N367" s="1"/>
  <c r="P367" s="1"/>
  <c r="O367" s="1"/>
  <c r="K367" s="1"/>
  <c r="H367" s="1"/>
  <c r="M365"/>
  <c r="N365" s="1"/>
  <c r="P365" s="1"/>
  <c r="O365" s="1"/>
  <c r="K365" s="1"/>
  <c r="H365" s="1"/>
  <c r="M364"/>
  <c r="N364" s="1"/>
  <c r="P364" s="1"/>
  <c r="O364" s="1"/>
  <c r="K364" s="1"/>
  <c r="H364" s="1"/>
  <c r="M363"/>
  <c r="N363" s="1"/>
  <c r="P363" s="1"/>
  <c r="O363" s="1"/>
  <c r="K363" s="1"/>
  <c r="H363" s="1"/>
  <c r="C359"/>
  <c r="G359"/>
  <c r="C358"/>
  <c r="G358"/>
  <c r="C357"/>
  <c r="G357"/>
  <c r="C356"/>
  <c r="G356"/>
  <c r="C355"/>
  <c r="G355"/>
  <c r="C354"/>
  <c r="G354"/>
  <c r="C353"/>
  <c r="G353"/>
  <c r="Z352"/>
  <c r="Z351"/>
  <c r="C350"/>
  <c r="G350"/>
  <c r="Z349"/>
  <c r="C348"/>
  <c r="G348"/>
  <c r="Z347"/>
  <c r="L346"/>
  <c r="L344"/>
  <c r="V327"/>
  <c r="V328"/>
  <c r="V329"/>
  <c r="V331"/>
  <c r="V332"/>
  <c r="V334"/>
  <c r="V335"/>
  <c r="V336"/>
  <c r="V337"/>
  <c r="V339"/>
  <c r="V340"/>
  <c r="L322"/>
  <c r="L320"/>
  <c r="L318"/>
  <c r="L315"/>
  <c r="L314"/>
  <c r="L313"/>
  <c r="L312"/>
  <c r="L311"/>
  <c r="L309"/>
  <c r="C308"/>
  <c r="G308"/>
  <c r="Z287"/>
  <c r="Z286"/>
  <c r="Z285"/>
  <c r="Z284"/>
  <c r="Z283"/>
  <c r="Z282"/>
  <c r="Z281"/>
  <c r="C280"/>
  <c r="G280"/>
  <c r="C279"/>
  <c r="G279"/>
  <c r="Z278"/>
  <c r="C277"/>
  <c r="G277"/>
  <c r="Z276"/>
  <c r="C275"/>
  <c r="G275"/>
  <c r="C273"/>
  <c r="G273"/>
  <c r="O36" i="3"/>
  <c r="M36"/>
  <c r="O35"/>
  <c r="M35"/>
  <c r="O34"/>
  <c r="M34"/>
  <c r="O33"/>
  <c r="M33"/>
  <c r="N32"/>
  <c r="N31"/>
  <c r="N30"/>
  <c r="N29"/>
  <c r="Q377" i="5"/>
  <c r="Q376"/>
  <c r="Q375"/>
  <c r="Q374"/>
  <c r="Q373"/>
  <c r="Q372"/>
  <c r="Q371"/>
  <c r="Q370"/>
  <c r="Q369"/>
  <c r="Q368"/>
  <c r="Q367"/>
  <c r="Q366"/>
  <c r="Q365"/>
  <c r="Q364"/>
  <c r="Q363"/>
  <c r="Q362"/>
  <c r="Z290"/>
  <c r="F290" s="1"/>
  <c r="S262"/>
  <c r="S260"/>
  <c r="S258"/>
  <c r="S256"/>
  <c r="S254"/>
  <c r="Q233"/>
  <c r="Q231"/>
  <c r="Q229"/>
  <c r="Q227"/>
  <c r="Q225"/>
  <c r="Q223"/>
  <c r="Q221"/>
  <c r="Q219"/>
  <c r="S197"/>
  <c r="S195"/>
  <c r="S193"/>
  <c r="S191"/>
  <c r="S189"/>
  <c r="S187"/>
  <c r="S185"/>
  <c r="S183"/>
  <c r="Q160"/>
  <c r="Q158"/>
  <c r="Q156"/>
  <c r="Q154"/>
  <c r="Q152"/>
  <c r="Q150"/>
  <c r="Q148"/>
  <c r="Q146"/>
  <c r="S124"/>
  <c r="S122"/>
  <c r="S120"/>
  <c r="S118"/>
  <c r="S116"/>
  <c r="S114"/>
  <c r="S112"/>
  <c r="S110"/>
  <c r="Q89"/>
  <c r="Q87"/>
  <c r="Q85"/>
  <c r="Q83"/>
  <c r="Q81"/>
  <c r="Q79"/>
  <c r="Q77"/>
  <c r="Q75"/>
  <c r="F74"/>
  <c r="S53"/>
  <c r="S51"/>
  <c r="S49"/>
  <c r="S47"/>
  <c r="S45"/>
  <c r="S43"/>
  <c r="S41"/>
  <c r="S39"/>
  <c r="Q857" i="6"/>
  <c r="Q855"/>
  <c r="Q853"/>
  <c r="E850"/>
  <c r="E842"/>
  <c r="E824"/>
  <c r="E820"/>
  <c r="A835"/>
  <c r="D835"/>
  <c r="T835"/>
  <c r="A809"/>
  <c r="D809"/>
  <c r="T809"/>
  <c r="A731"/>
  <c r="D731"/>
  <c r="T731"/>
  <c r="A705"/>
  <c r="D705"/>
  <c r="T705"/>
  <c r="T627"/>
  <c r="A627"/>
  <c r="D627"/>
  <c r="T601"/>
  <c r="A601"/>
  <c r="D601"/>
  <c r="A523"/>
  <c r="D523"/>
  <c r="T523"/>
  <c r="T497"/>
  <c r="A497"/>
  <c r="D497"/>
  <c r="A367"/>
  <c r="T367" s="1"/>
  <c r="D367"/>
  <c r="A341"/>
  <c r="T341" s="1"/>
  <c r="D341"/>
  <c r="U346"/>
  <c r="A263"/>
  <c r="T263" s="1"/>
  <c r="D263"/>
  <c r="A237"/>
  <c r="T237" s="1"/>
  <c r="D237"/>
  <c r="U242"/>
  <c r="A159"/>
  <c r="T159" s="1"/>
  <c r="D159"/>
  <c r="A133"/>
  <c r="T133" s="1"/>
  <c r="D133"/>
  <c r="U138"/>
  <c r="A55"/>
  <c r="T55" s="1"/>
  <c r="D55"/>
  <c r="A29"/>
  <c r="T29" s="1"/>
  <c r="D29"/>
  <c r="Q53"/>
  <c r="Q105"/>
  <c r="Q157"/>
  <c r="Q209"/>
  <c r="Q261"/>
  <c r="Q313"/>
  <c r="Q469"/>
  <c r="Q365"/>
  <c r="Q417"/>
  <c r="Q573"/>
  <c r="Q625"/>
  <c r="Q521"/>
  <c r="Q677"/>
  <c r="Q729"/>
  <c r="Q833"/>
  <c r="Q51"/>
  <c r="Q103"/>
  <c r="Q155"/>
  <c r="Q207"/>
  <c r="Q259"/>
  <c r="Q311"/>
  <c r="Q363"/>
  <c r="Q467"/>
  <c r="Q415"/>
  <c r="Q519"/>
  <c r="Q571"/>
  <c r="Q623"/>
  <c r="Q675"/>
  <c r="Q727"/>
  <c r="Q779"/>
  <c r="Q831"/>
  <c r="Q49"/>
  <c r="Q101"/>
  <c r="Q153"/>
  <c r="Q205"/>
  <c r="Q257"/>
  <c r="Q309"/>
  <c r="Q361"/>
  <c r="Q465"/>
  <c r="Q413"/>
  <c r="Q569"/>
  <c r="Q621"/>
  <c r="Q517"/>
  <c r="Q673"/>
  <c r="Q725"/>
  <c r="Q777"/>
  <c r="Q829"/>
  <c r="Q47"/>
  <c r="Q99"/>
  <c r="Q151"/>
  <c r="Q203"/>
  <c r="Q255"/>
  <c r="Q307"/>
  <c r="Q359"/>
  <c r="Q463"/>
  <c r="Q411"/>
  <c r="Q515"/>
  <c r="Q567"/>
  <c r="Q619"/>
  <c r="Q671"/>
  <c r="Q723"/>
  <c r="Q775"/>
  <c r="Q827"/>
  <c r="L460" i="5"/>
  <c r="C454"/>
  <c r="G454"/>
  <c r="C431"/>
  <c r="G431"/>
  <c r="C430"/>
  <c r="G430"/>
  <c r="C429"/>
  <c r="G429"/>
  <c r="C428"/>
  <c r="G428"/>
  <c r="C427"/>
  <c r="G427"/>
  <c r="C426"/>
  <c r="G426"/>
  <c r="C425"/>
  <c r="G425"/>
  <c r="Z424"/>
  <c r="Z423"/>
  <c r="C422"/>
  <c r="G422"/>
  <c r="Z421"/>
  <c r="C420"/>
  <c r="G420"/>
  <c r="Z419"/>
  <c r="L418"/>
  <c r="L416"/>
  <c r="V399"/>
  <c r="V400"/>
  <c r="V401"/>
  <c r="V402"/>
  <c r="V403"/>
  <c r="V404"/>
  <c r="V405"/>
  <c r="V406"/>
  <c r="V407"/>
  <c r="V408"/>
  <c r="V409"/>
  <c r="V410"/>
  <c r="V411"/>
  <c r="V412"/>
  <c r="V413"/>
  <c r="L394"/>
  <c r="L392"/>
  <c r="L390"/>
  <c r="L387"/>
  <c r="L386"/>
  <c r="L385"/>
  <c r="L384"/>
  <c r="L383"/>
  <c r="L381"/>
  <c r="C380"/>
  <c r="G380"/>
  <c r="Z359"/>
  <c r="Z358"/>
  <c r="Z357"/>
  <c r="Z356"/>
  <c r="Z355"/>
  <c r="Z354"/>
  <c r="Z353"/>
  <c r="C352"/>
  <c r="G352"/>
  <c r="C351"/>
  <c r="G351"/>
  <c r="Z350"/>
  <c r="C349"/>
  <c r="G349"/>
  <c r="Z348"/>
  <c r="C347"/>
  <c r="G347"/>
  <c r="C345"/>
  <c r="G345"/>
  <c r="L323"/>
  <c r="L321"/>
  <c r="L319"/>
  <c r="L317"/>
  <c r="L316"/>
  <c r="C310"/>
  <c r="G310"/>
  <c r="M295"/>
  <c r="N295" s="1"/>
  <c r="P295" s="1"/>
  <c r="O295" s="1"/>
  <c r="K295" s="1"/>
  <c r="H295" s="1"/>
  <c r="M293"/>
  <c r="N293" s="1"/>
  <c r="P293" s="1"/>
  <c r="O293" s="1"/>
  <c r="K293" s="1"/>
  <c r="H293" s="1"/>
  <c r="M291"/>
  <c r="N291" s="1"/>
  <c r="P291" s="1"/>
  <c r="O291" s="1"/>
  <c r="K291" s="1"/>
  <c r="H291" s="1"/>
  <c r="C287"/>
  <c r="G287"/>
  <c r="C286"/>
  <c r="G286"/>
  <c r="C285"/>
  <c r="G285"/>
  <c r="C284"/>
  <c r="G284"/>
  <c r="C283"/>
  <c r="G283"/>
  <c r="C282"/>
  <c r="G282"/>
  <c r="C281"/>
  <c r="G281"/>
  <c r="Z280"/>
  <c r="Z279"/>
  <c r="C278"/>
  <c r="G278"/>
  <c r="Z277"/>
  <c r="C276"/>
  <c r="G276"/>
  <c r="Z275"/>
  <c r="L274"/>
  <c r="L272"/>
  <c r="T60"/>
  <c r="T132"/>
  <c r="T204"/>
  <c r="T24"/>
  <c r="T96"/>
  <c r="T168"/>
  <c r="T240"/>
  <c r="T312"/>
  <c r="T384"/>
  <c r="T456"/>
  <c r="O32" i="3"/>
  <c r="O31"/>
  <c r="O30"/>
  <c r="O29"/>
  <c r="M593" i="5"/>
  <c r="N593" s="1"/>
  <c r="P593" s="1"/>
  <c r="O593" s="1"/>
  <c r="K593" s="1"/>
  <c r="H593" s="1"/>
  <c r="S593" s="1"/>
  <c r="M591"/>
  <c r="N591" s="1"/>
  <c r="P591" s="1"/>
  <c r="O591" s="1"/>
  <c r="K591" s="1"/>
  <c r="H591" s="1"/>
  <c r="S591" s="1"/>
  <c r="M589"/>
  <c r="N589" s="1"/>
  <c r="P589" s="1"/>
  <c r="O589" s="1"/>
  <c r="K589" s="1"/>
  <c r="H589" s="1"/>
  <c r="S589" s="1"/>
  <c r="M587"/>
  <c r="N587" s="1"/>
  <c r="P587" s="1"/>
  <c r="O587" s="1"/>
  <c r="K587" s="1"/>
  <c r="H587" s="1"/>
  <c r="S587" s="1"/>
  <c r="M585"/>
  <c r="N585" s="1"/>
  <c r="P585" s="1"/>
  <c r="O585" s="1"/>
  <c r="K585" s="1"/>
  <c r="H585" s="1"/>
  <c r="S585" s="1"/>
  <c r="M583"/>
  <c r="N583" s="1"/>
  <c r="P583" s="1"/>
  <c r="O583" s="1"/>
  <c r="K583" s="1"/>
  <c r="H583" s="1"/>
  <c r="S583" s="1"/>
  <c r="M581"/>
  <c r="N581" s="1"/>
  <c r="P581" s="1"/>
  <c r="O581" s="1"/>
  <c r="K581" s="1"/>
  <c r="H581" s="1"/>
  <c r="S581" s="1"/>
  <c r="M579"/>
  <c r="N579" s="1"/>
  <c r="P579" s="1"/>
  <c r="O579" s="1"/>
  <c r="K579" s="1"/>
  <c r="H579" s="1"/>
  <c r="S579" s="1"/>
  <c r="Z575"/>
  <c r="G575"/>
  <c r="Z574"/>
  <c r="G574"/>
  <c r="Z573"/>
  <c r="G573"/>
  <c r="Z572"/>
  <c r="G572"/>
  <c r="Z571"/>
  <c r="G571"/>
  <c r="Z570"/>
  <c r="G570"/>
  <c r="Z569"/>
  <c r="G569"/>
  <c r="Z568"/>
  <c r="G568"/>
  <c r="Z567"/>
  <c r="G567"/>
  <c r="Z566"/>
  <c r="G566"/>
  <c r="Z565"/>
  <c r="G565"/>
  <c r="Z564"/>
  <c r="G564"/>
  <c r="Z563"/>
  <c r="F560" s="1"/>
  <c r="G563"/>
  <c r="L562"/>
  <c r="G561"/>
  <c r="L560"/>
  <c r="V557"/>
  <c r="V556"/>
  <c r="V555"/>
  <c r="V554"/>
  <c r="V553"/>
  <c r="V552"/>
  <c r="V551"/>
  <c r="V550"/>
  <c r="V549"/>
  <c r="V548"/>
  <c r="V547"/>
  <c r="V546"/>
  <c r="V545"/>
  <c r="V544"/>
  <c r="V543"/>
  <c r="L539"/>
  <c r="L538"/>
  <c r="L537"/>
  <c r="L536"/>
  <c r="L535"/>
  <c r="L534"/>
  <c r="L533"/>
  <c r="L532"/>
  <c r="L531"/>
  <c r="L530"/>
  <c r="L529"/>
  <c r="L528"/>
  <c r="L527"/>
  <c r="G526"/>
  <c r="L525"/>
  <c r="G524"/>
  <c r="Z503"/>
  <c r="G503"/>
  <c r="Z502"/>
  <c r="G502"/>
  <c r="Z501"/>
  <c r="G501"/>
  <c r="Z500"/>
  <c r="G500"/>
  <c r="Z499"/>
  <c r="G499"/>
  <c r="Z498"/>
  <c r="G498"/>
  <c r="Z497"/>
  <c r="G497"/>
  <c r="Z496"/>
  <c r="G496"/>
  <c r="Z495"/>
  <c r="G495"/>
  <c r="Z494"/>
  <c r="G494"/>
  <c r="Z493"/>
  <c r="G493"/>
  <c r="Z492"/>
  <c r="G492"/>
  <c r="Z491"/>
  <c r="F488" s="1"/>
  <c r="G491"/>
  <c r="L490"/>
  <c r="G489"/>
  <c r="L488"/>
  <c r="V485"/>
  <c r="V484"/>
  <c r="V483"/>
  <c r="V482"/>
  <c r="V481"/>
  <c r="V480"/>
  <c r="V479"/>
  <c r="V478"/>
  <c r="V477"/>
  <c r="V476"/>
  <c r="V475"/>
  <c r="V474"/>
  <c r="V473"/>
  <c r="V472"/>
  <c r="V471"/>
  <c r="L467"/>
  <c r="L466"/>
  <c r="L465"/>
  <c r="L464"/>
  <c r="L463"/>
  <c r="L462"/>
  <c r="L461"/>
  <c r="Z454"/>
  <c r="Z452"/>
  <c r="F452" s="1"/>
  <c r="L452"/>
  <c r="G449"/>
  <c r="Q449" s="1"/>
  <c r="G448"/>
  <c r="Q448" s="1"/>
  <c r="G447"/>
  <c r="Q447" s="1"/>
  <c r="G446"/>
  <c r="Q446" s="1"/>
  <c r="G445"/>
  <c r="Q445" s="1"/>
  <c r="G444"/>
  <c r="Q444" s="1"/>
  <c r="G443"/>
  <c r="Q443" s="1"/>
  <c r="G442"/>
  <c r="Q442" s="1"/>
  <c r="G441"/>
  <c r="Q441" s="1"/>
  <c r="G440"/>
  <c r="Q440" s="1"/>
  <c r="G439"/>
  <c r="Q439" s="1"/>
  <c r="G438"/>
  <c r="Q438" s="1"/>
  <c r="G437"/>
  <c r="Q437" s="1"/>
  <c r="G436"/>
  <c r="Q436" s="1"/>
  <c r="G435"/>
  <c r="Q435" s="1"/>
  <c r="Q434"/>
  <c r="Z362"/>
  <c r="F362" s="1"/>
  <c r="Z345"/>
  <c r="F344" s="1"/>
  <c r="Z310"/>
  <c r="Z308"/>
  <c r="L308"/>
  <c r="G305"/>
  <c r="Q305" s="1"/>
  <c r="G304"/>
  <c r="Q304" s="1"/>
  <c r="G303"/>
  <c r="Q303" s="1"/>
  <c r="G302"/>
  <c r="Q302" s="1"/>
  <c r="G301"/>
  <c r="Q301" s="1"/>
  <c r="G300"/>
  <c r="Q300" s="1"/>
  <c r="G299"/>
  <c r="Q299" s="1"/>
  <c r="G298"/>
  <c r="Q298" s="1"/>
  <c r="G297"/>
  <c r="Q297" s="1"/>
  <c r="G296"/>
  <c r="Q296" s="1"/>
  <c r="Q295"/>
  <c r="Q294"/>
  <c r="Q293"/>
  <c r="Q292"/>
  <c r="Q291"/>
  <c r="Q290"/>
  <c r="S261"/>
  <c r="S259"/>
  <c r="S257"/>
  <c r="S255"/>
  <c r="Q232"/>
  <c r="Q230"/>
  <c r="Q228"/>
  <c r="Q226"/>
  <c r="Q224"/>
  <c r="Q222"/>
  <c r="Q220"/>
  <c r="Q218"/>
  <c r="S184"/>
  <c r="Q161"/>
  <c r="Q159"/>
  <c r="Q157"/>
  <c r="Q155"/>
  <c r="Q153"/>
  <c r="Q151"/>
  <c r="Q149"/>
  <c r="Q147"/>
  <c r="S125"/>
  <c r="S123"/>
  <c r="S121"/>
  <c r="S119"/>
  <c r="S117"/>
  <c r="S115"/>
  <c r="S113"/>
  <c r="S111"/>
  <c r="Q88"/>
  <c r="Q86"/>
  <c r="Q84"/>
  <c r="Q82"/>
  <c r="Q80"/>
  <c r="Q78"/>
  <c r="Q76"/>
  <c r="Q74"/>
  <c r="S42"/>
  <c r="E822" i="6"/>
  <c r="E818"/>
  <c r="E814"/>
  <c r="E811"/>
  <c r="I780"/>
  <c r="W780"/>
  <c r="AC780" s="1"/>
  <c r="C779"/>
  <c r="L779"/>
  <c r="K778"/>
  <c r="M778"/>
  <c r="N778" s="1"/>
  <c r="P778" s="1"/>
  <c r="O778" s="1"/>
  <c r="I776"/>
  <c r="W776"/>
  <c r="AC776" s="1"/>
  <c r="C775"/>
  <c r="L775"/>
  <c r="K774"/>
  <c r="M774"/>
  <c r="N774" s="1"/>
  <c r="P774" s="1"/>
  <c r="O774" s="1"/>
  <c r="M755"/>
  <c r="N755" s="1"/>
  <c r="P755" s="1"/>
  <c r="O755" s="1"/>
  <c r="K755" s="1"/>
  <c r="H755" s="1"/>
  <c r="Q755"/>
  <c r="M753"/>
  <c r="N753" s="1"/>
  <c r="P753" s="1"/>
  <c r="O753" s="1"/>
  <c r="K753" s="1"/>
  <c r="H753" s="1"/>
  <c r="Q753"/>
  <c r="M751"/>
  <c r="N751" s="1"/>
  <c r="P751" s="1"/>
  <c r="O751" s="1"/>
  <c r="K751" s="1"/>
  <c r="H751" s="1"/>
  <c r="Q751"/>
  <c r="M749"/>
  <c r="N749" s="1"/>
  <c r="P749" s="1"/>
  <c r="O749" s="1"/>
  <c r="K749" s="1"/>
  <c r="H749" s="1"/>
  <c r="Q749"/>
  <c r="V268" i="5"/>
  <c r="V267"/>
  <c r="V266"/>
  <c r="V265"/>
  <c r="V264"/>
  <c r="V263"/>
  <c r="V262"/>
  <c r="V261"/>
  <c r="V260"/>
  <c r="V259"/>
  <c r="V258"/>
  <c r="V257"/>
  <c r="V256"/>
  <c r="V255"/>
  <c r="L251"/>
  <c r="L250"/>
  <c r="L249"/>
  <c r="L248"/>
  <c r="L247"/>
  <c r="L246"/>
  <c r="L245"/>
  <c r="L244"/>
  <c r="L243"/>
  <c r="L242"/>
  <c r="L241"/>
  <c r="L240"/>
  <c r="L239"/>
  <c r="G238"/>
  <c r="L237"/>
  <c r="G236"/>
  <c r="M233"/>
  <c r="N233" s="1"/>
  <c r="P233" s="1"/>
  <c r="O233" s="1"/>
  <c r="K233" s="1"/>
  <c r="H233" s="1"/>
  <c r="S233" s="1"/>
  <c r="M231"/>
  <c r="N231" s="1"/>
  <c r="P231" s="1"/>
  <c r="O231" s="1"/>
  <c r="K231" s="1"/>
  <c r="H231" s="1"/>
  <c r="S231" s="1"/>
  <c r="M229"/>
  <c r="N229" s="1"/>
  <c r="P229" s="1"/>
  <c r="O229" s="1"/>
  <c r="K229" s="1"/>
  <c r="H229" s="1"/>
  <c r="S229" s="1"/>
  <c r="M227"/>
  <c r="N227" s="1"/>
  <c r="P227" s="1"/>
  <c r="O227" s="1"/>
  <c r="K227" s="1"/>
  <c r="H227" s="1"/>
  <c r="S227" s="1"/>
  <c r="M225"/>
  <c r="N225" s="1"/>
  <c r="P225" s="1"/>
  <c r="O225" s="1"/>
  <c r="K225" s="1"/>
  <c r="H225" s="1"/>
  <c r="S225" s="1"/>
  <c r="M223"/>
  <c r="N223" s="1"/>
  <c r="P223" s="1"/>
  <c r="O223" s="1"/>
  <c r="K223" s="1"/>
  <c r="H223" s="1"/>
  <c r="S223" s="1"/>
  <c r="M221"/>
  <c r="N221" s="1"/>
  <c r="P221" s="1"/>
  <c r="O221" s="1"/>
  <c r="K221" s="1"/>
  <c r="H221" s="1"/>
  <c r="S221" s="1"/>
  <c r="M219"/>
  <c r="N219" s="1"/>
  <c r="P219" s="1"/>
  <c r="O219" s="1"/>
  <c r="K219" s="1"/>
  <c r="H219" s="1"/>
  <c r="S219" s="1"/>
  <c r="Z215"/>
  <c r="G215"/>
  <c r="Z214"/>
  <c r="G214"/>
  <c r="Z213"/>
  <c r="G213"/>
  <c r="Z212"/>
  <c r="G212"/>
  <c r="Z211"/>
  <c r="G211"/>
  <c r="Z210"/>
  <c r="G210"/>
  <c r="Z209"/>
  <c r="G209"/>
  <c r="Z208"/>
  <c r="G208"/>
  <c r="Z207"/>
  <c r="G207"/>
  <c r="Z206"/>
  <c r="G206"/>
  <c r="Z205"/>
  <c r="G205"/>
  <c r="Z204"/>
  <c r="G204"/>
  <c r="Z203"/>
  <c r="F200" s="1"/>
  <c r="G203"/>
  <c r="L202"/>
  <c r="G201"/>
  <c r="L200"/>
  <c r="V197"/>
  <c r="V195"/>
  <c r="V193"/>
  <c r="V191"/>
  <c r="V189"/>
  <c r="V187"/>
  <c r="V185"/>
  <c r="V184"/>
  <c r="V183"/>
  <c r="L179"/>
  <c r="L177"/>
  <c r="L176"/>
  <c r="L175"/>
  <c r="L174"/>
  <c r="L173"/>
  <c r="L172"/>
  <c r="L171"/>
  <c r="L169"/>
  <c r="L168"/>
  <c r="L167"/>
  <c r="G166"/>
  <c r="L165"/>
  <c r="G164"/>
  <c r="M160"/>
  <c r="N160" s="1"/>
  <c r="P160" s="1"/>
  <c r="O160" s="1"/>
  <c r="K160" s="1"/>
  <c r="H160" s="1"/>
  <c r="S160" s="1"/>
  <c r="M158"/>
  <c r="N158" s="1"/>
  <c r="P158" s="1"/>
  <c r="O158" s="1"/>
  <c r="K158" s="1"/>
  <c r="H158" s="1"/>
  <c r="S158" s="1"/>
  <c r="M156"/>
  <c r="N156" s="1"/>
  <c r="P156" s="1"/>
  <c r="O156" s="1"/>
  <c r="K156" s="1"/>
  <c r="H156" s="1"/>
  <c r="S156" s="1"/>
  <c r="M155"/>
  <c r="N155" s="1"/>
  <c r="P155" s="1"/>
  <c r="O155" s="1"/>
  <c r="K155" s="1"/>
  <c r="H155" s="1"/>
  <c r="S155" s="1"/>
  <c r="M154"/>
  <c r="N154" s="1"/>
  <c r="P154" s="1"/>
  <c r="O154" s="1"/>
  <c r="K154" s="1"/>
  <c r="H154" s="1"/>
  <c r="S154" s="1"/>
  <c r="M152"/>
  <c r="N152" s="1"/>
  <c r="P152" s="1"/>
  <c r="O152" s="1"/>
  <c r="K152" s="1"/>
  <c r="H152" s="1"/>
  <c r="S152" s="1"/>
  <c r="M150"/>
  <c r="N150" s="1"/>
  <c r="P150" s="1"/>
  <c r="O150" s="1"/>
  <c r="K150" s="1"/>
  <c r="H150" s="1"/>
  <c r="S150" s="1"/>
  <c r="M147"/>
  <c r="N147" s="1"/>
  <c r="P147" s="1"/>
  <c r="O147" s="1"/>
  <c r="K147" s="1"/>
  <c r="H147" s="1"/>
  <c r="S147" s="1"/>
  <c r="Z143"/>
  <c r="G143"/>
  <c r="Z142"/>
  <c r="G142"/>
  <c r="Z141"/>
  <c r="G141"/>
  <c r="Z140"/>
  <c r="G140"/>
  <c r="Z139"/>
  <c r="G139"/>
  <c r="Z138"/>
  <c r="G138"/>
  <c r="Z137"/>
  <c r="G137"/>
  <c r="Z136"/>
  <c r="G136"/>
  <c r="Z135"/>
  <c r="G135"/>
  <c r="Z134"/>
  <c r="G134"/>
  <c r="Z133"/>
  <c r="G133"/>
  <c r="Z132"/>
  <c r="G132"/>
  <c r="Z131"/>
  <c r="F128" s="1"/>
  <c r="G131"/>
  <c r="L130"/>
  <c r="G129"/>
  <c r="L128"/>
  <c r="V125"/>
  <c r="V124"/>
  <c r="V123"/>
  <c r="V122"/>
  <c r="V121"/>
  <c r="V120"/>
  <c r="V119"/>
  <c r="V118"/>
  <c r="V117"/>
  <c r="V116"/>
  <c r="V115"/>
  <c r="V114"/>
  <c r="V113"/>
  <c r="V112"/>
  <c r="V111"/>
  <c r="D109"/>
  <c r="A109"/>
  <c r="L107"/>
  <c r="L106"/>
  <c r="L105"/>
  <c r="L104"/>
  <c r="L103"/>
  <c r="L102"/>
  <c r="L101"/>
  <c r="L100"/>
  <c r="L99"/>
  <c r="L98"/>
  <c r="L97"/>
  <c r="L96"/>
  <c r="L95"/>
  <c r="G94"/>
  <c r="L93"/>
  <c r="G92"/>
  <c r="M89"/>
  <c r="N89" s="1"/>
  <c r="P89" s="1"/>
  <c r="O89" s="1"/>
  <c r="K89" s="1"/>
  <c r="H89" s="1"/>
  <c r="S89" s="1"/>
  <c r="M87"/>
  <c r="N87" s="1"/>
  <c r="P87" s="1"/>
  <c r="O87" s="1"/>
  <c r="K87" s="1"/>
  <c r="H87" s="1"/>
  <c r="S87" s="1"/>
  <c r="M85"/>
  <c r="N85" s="1"/>
  <c r="P85" s="1"/>
  <c r="O85" s="1"/>
  <c r="K85" s="1"/>
  <c r="H85" s="1"/>
  <c r="S85" s="1"/>
  <c r="M83"/>
  <c r="N83" s="1"/>
  <c r="P83" s="1"/>
  <c r="O83" s="1"/>
  <c r="K83" s="1"/>
  <c r="H83" s="1"/>
  <c r="S83" s="1"/>
  <c r="M81"/>
  <c r="N81" s="1"/>
  <c r="P81" s="1"/>
  <c r="O81" s="1"/>
  <c r="K81" s="1"/>
  <c r="H81" s="1"/>
  <c r="S81" s="1"/>
  <c r="M79"/>
  <c r="N79" s="1"/>
  <c r="P79" s="1"/>
  <c r="O79" s="1"/>
  <c r="K79" s="1"/>
  <c r="H79" s="1"/>
  <c r="S79" s="1"/>
  <c r="M77"/>
  <c r="N77" s="1"/>
  <c r="P77" s="1"/>
  <c r="O77" s="1"/>
  <c r="K77" s="1"/>
  <c r="H77" s="1"/>
  <c r="S77" s="1"/>
  <c r="M75"/>
  <c r="N75" s="1"/>
  <c r="P75" s="1"/>
  <c r="O75" s="1"/>
  <c r="K75" s="1"/>
  <c r="H75" s="1"/>
  <c r="S75" s="1"/>
  <c r="Z71"/>
  <c r="G71"/>
  <c r="Z70"/>
  <c r="G70"/>
  <c r="Z69"/>
  <c r="G69"/>
  <c r="Z68"/>
  <c r="G68"/>
  <c r="Z67"/>
  <c r="G67"/>
  <c r="Z66"/>
  <c r="G66"/>
  <c r="Z65"/>
  <c r="G65"/>
  <c r="Z64"/>
  <c r="G64"/>
  <c r="Z63"/>
  <c r="G63"/>
  <c r="Z62"/>
  <c r="G62"/>
  <c r="Z61"/>
  <c r="G61"/>
  <c r="Z60"/>
  <c r="G60"/>
  <c r="Z59"/>
  <c r="F56" s="1"/>
  <c r="U59"/>
  <c r="G59"/>
  <c r="L58"/>
  <c r="G57"/>
  <c r="L56"/>
  <c r="D55"/>
  <c r="T55" s="1"/>
  <c r="V53"/>
  <c r="V51"/>
  <c r="V49"/>
  <c r="V47"/>
  <c r="V45"/>
  <c r="V43"/>
  <c r="V42"/>
  <c r="V41"/>
  <c r="V39"/>
  <c r="D37"/>
  <c r="A37"/>
  <c r="L35"/>
  <c r="L34"/>
  <c r="L33"/>
  <c r="L32"/>
  <c r="L31"/>
  <c r="L30"/>
  <c r="L29"/>
  <c r="L28"/>
  <c r="L27"/>
  <c r="L26"/>
  <c r="L25"/>
  <c r="L24"/>
  <c r="L23"/>
  <c r="G22"/>
  <c r="L21"/>
  <c r="G20"/>
  <c r="M16"/>
  <c r="N16" s="1"/>
  <c r="P16" s="1"/>
  <c r="O16" s="1"/>
  <c r="M14"/>
  <c r="N14" s="1"/>
  <c r="P14" s="1"/>
  <c r="O14" s="1"/>
  <c r="M12"/>
  <c r="N12" s="1"/>
  <c r="P12" s="1"/>
  <c r="O12" s="1"/>
  <c r="M10"/>
  <c r="N10" s="1"/>
  <c r="P10" s="1"/>
  <c r="O10" s="1"/>
  <c r="M8"/>
  <c r="N8" s="1"/>
  <c r="P8" s="1"/>
  <c r="O8" s="1"/>
  <c r="M6"/>
  <c r="N6" s="1"/>
  <c r="P6" s="1"/>
  <c r="O6" s="1"/>
  <c r="M3"/>
  <c r="N3" s="1"/>
  <c r="P3" s="1"/>
  <c r="O3" s="1"/>
  <c r="K2"/>
  <c r="Q859" i="6"/>
  <c r="Q858"/>
  <c r="M858"/>
  <c r="N858" s="1"/>
  <c r="P858" s="1"/>
  <c r="O858" s="1"/>
  <c r="K858" s="1"/>
  <c r="H858" s="1"/>
  <c r="M857"/>
  <c r="N857" s="1"/>
  <c r="P857" s="1"/>
  <c r="O857" s="1"/>
  <c r="K857" s="1"/>
  <c r="H857" s="1"/>
  <c r="Q856"/>
  <c r="M856"/>
  <c r="N856" s="1"/>
  <c r="P856" s="1"/>
  <c r="O856" s="1"/>
  <c r="K856"/>
  <c r="H856" s="1"/>
  <c r="Q854"/>
  <c r="M854"/>
  <c r="N854" s="1"/>
  <c r="P854" s="1"/>
  <c r="O854" s="1"/>
  <c r="K854" s="1"/>
  <c r="H854" s="1"/>
  <c r="Q852"/>
  <c r="M852"/>
  <c r="N852" s="1"/>
  <c r="P852" s="1"/>
  <c r="O852" s="1"/>
  <c r="K852"/>
  <c r="H852" s="1"/>
  <c r="M833"/>
  <c r="N833" s="1"/>
  <c r="P833" s="1"/>
  <c r="O833" s="1"/>
  <c r="K833"/>
  <c r="H833" s="1"/>
  <c r="I833"/>
  <c r="D833"/>
  <c r="L832"/>
  <c r="M831"/>
  <c r="N831" s="1"/>
  <c r="P831" s="1"/>
  <c r="O831" s="1"/>
  <c r="K831" s="1"/>
  <c r="H831" s="1"/>
  <c r="I831"/>
  <c r="D831"/>
  <c r="L830"/>
  <c r="I829"/>
  <c r="D829"/>
  <c r="L828"/>
  <c r="M827"/>
  <c r="N827" s="1"/>
  <c r="P827" s="1"/>
  <c r="O827" s="1"/>
  <c r="K827" s="1"/>
  <c r="H827" s="1"/>
  <c r="I827"/>
  <c r="D827"/>
  <c r="L826"/>
  <c r="I825"/>
  <c r="I823"/>
  <c r="I821"/>
  <c r="I819"/>
  <c r="I817"/>
  <c r="I815"/>
  <c r="I814"/>
  <c r="I813"/>
  <c r="I812"/>
  <c r="I811"/>
  <c r="I810"/>
  <c r="G807"/>
  <c r="G806"/>
  <c r="L806" s="1"/>
  <c r="G805"/>
  <c r="L805" s="1"/>
  <c r="G804"/>
  <c r="L804" s="1"/>
  <c r="G803"/>
  <c r="L803" s="1"/>
  <c r="L802"/>
  <c r="G802"/>
  <c r="G801"/>
  <c r="L801" s="1"/>
  <c r="G800"/>
  <c r="L800" s="1"/>
  <c r="W781"/>
  <c r="AC781" s="1"/>
  <c r="Q781"/>
  <c r="I781"/>
  <c r="X780"/>
  <c r="H778"/>
  <c r="X776"/>
  <c r="D776"/>
  <c r="H774"/>
  <c r="E772"/>
  <c r="E771"/>
  <c r="E766"/>
  <c r="E764"/>
  <c r="E746"/>
  <c r="E744"/>
  <c r="E742"/>
  <c r="E740"/>
  <c r="E738"/>
  <c r="D728"/>
  <c r="D724"/>
  <c r="E721"/>
  <c r="E720"/>
  <c r="E717"/>
  <c r="E716"/>
  <c r="E713"/>
  <c r="E712"/>
  <c r="E667"/>
  <c r="E666"/>
  <c r="E663"/>
  <c r="E662"/>
  <c r="E659"/>
  <c r="E658"/>
  <c r="E656"/>
  <c r="E655"/>
  <c r="E616"/>
  <c r="E615"/>
  <c r="E612"/>
  <c r="E611"/>
  <c r="E610"/>
  <c r="E609"/>
  <c r="E604"/>
  <c r="E564"/>
  <c r="E563"/>
  <c r="M780"/>
  <c r="N780" s="1"/>
  <c r="P780" s="1"/>
  <c r="O780" s="1"/>
  <c r="K780" s="1"/>
  <c r="H780" s="1"/>
  <c r="I778"/>
  <c r="W778"/>
  <c r="AC778" s="1"/>
  <c r="C777"/>
  <c r="L777"/>
  <c r="M776"/>
  <c r="N776" s="1"/>
  <c r="P776" s="1"/>
  <c r="O776" s="1"/>
  <c r="K776" s="1"/>
  <c r="H776" s="1"/>
  <c r="I774"/>
  <c r="W774"/>
  <c r="AC774" s="1"/>
  <c r="Q754"/>
  <c r="M752"/>
  <c r="N752" s="1"/>
  <c r="P752" s="1"/>
  <c r="O752" s="1"/>
  <c r="K752" s="1"/>
  <c r="H752" s="1"/>
  <c r="Q752"/>
  <c r="Q750"/>
  <c r="D832"/>
  <c r="D830"/>
  <c r="D828"/>
  <c r="D826"/>
  <c r="E813"/>
  <c r="X777"/>
  <c r="D774"/>
  <c r="E773"/>
  <c r="E770"/>
  <c r="E769"/>
  <c r="E768"/>
  <c r="E761"/>
  <c r="D726"/>
  <c r="E719"/>
  <c r="E718"/>
  <c r="E715"/>
  <c r="E714"/>
  <c r="E711"/>
  <c r="E710"/>
  <c r="E708"/>
  <c r="E707"/>
  <c r="E706"/>
  <c r="E680"/>
  <c r="E669"/>
  <c r="E668"/>
  <c r="E665"/>
  <c r="E664"/>
  <c r="E661"/>
  <c r="E660"/>
  <c r="E617"/>
  <c r="E614"/>
  <c r="E613"/>
  <c r="E608"/>
  <c r="E607"/>
  <c r="E603"/>
  <c r="E591"/>
  <c r="E589"/>
  <c r="E587"/>
  <c r="E585"/>
  <c r="E583"/>
  <c r="E581"/>
  <c r="E579"/>
  <c r="E577"/>
  <c r="E565"/>
  <c r="E562"/>
  <c r="C521"/>
  <c r="L521"/>
  <c r="M520"/>
  <c r="N520" s="1"/>
  <c r="P520" s="1"/>
  <c r="O520" s="1"/>
  <c r="K520" s="1"/>
  <c r="H520" s="1"/>
  <c r="C517"/>
  <c r="L517"/>
  <c r="M516"/>
  <c r="N516" s="1"/>
  <c r="P516" s="1"/>
  <c r="O516" s="1"/>
  <c r="K516" s="1"/>
  <c r="H516" s="1"/>
  <c r="Q748"/>
  <c r="I729"/>
  <c r="D729"/>
  <c r="L728"/>
  <c r="M727"/>
  <c r="N727" s="1"/>
  <c r="P727" s="1"/>
  <c r="O727" s="1"/>
  <c r="K727" s="1"/>
  <c r="H727" s="1"/>
  <c r="I727"/>
  <c r="D727"/>
  <c r="L726"/>
  <c r="I725"/>
  <c r="D725"/>
  <c r="L724"/>
  <c r="M723"/>
  <c r="N723" s="1"/>
  <c r="P723" s="1"/>
  <c r="O723" s="1"/>
  <c r="K723" s="1"/>
  <c r="H723" s="1"/>
  <c r="I723"/>
  <c r="D723"/>
  <c r="L722"/>
  <c r="I721"/>
  <c r="I719"/>
  <c r="I717"/>
  <c r="I715"/>
  <c r="I713"/>
  <c r="I711"/>
  <c r="I710"/>
  <c r="I709"/>
  <c r="I708"/>
  <c r="I707"/>
  <c r="I706"/>
  <c r="G703"/>
  <c r="L702"/>
  <c r="G702"/>
  <c r="G701"/>
  <c r="D675" s="1"/>
  <c r="G700"/>
  <c r="L700" s="1"/>
  <c r="G699"/>
  <c r="L699" s="1"/>
  <c r="G698"/>
  <c r="L698" s="1"/>
  <c r="G697"/>
  <c r="G696"/>
  <c r="L696" s="1"/>
  <c r="W677"/>
  <c r="AC677" s="1"/>
  <c r="M677"/>
  <c r="N677" s="1"/>
  <c r="P677" s="1"/>
  <c r="O677" s="1"/>
  <c r="K677" s="1"/>
  <c r="H677" s="1"/>
  <c r="I677"/>
  <c r="X676"/>
  <c r="L676"/>
  <c r="W675"/>
  <c r="AC675" s="1"/>
  <c r="M675"/>
  <c r="N675" s="1"/>
  <c r="P675" s="1"/>
  <c r="O675" s="1"/>
  <c r="K675" s="1"/>
  <c r="H675" s="1"/>
  <c r="I675"/>
  <c r="X674"/>
  <c r="L674"/>
  <c r="W673"/>
  <c r="AC673" s="1"/>
  <c r="M673"/>
  <c r="N673" s="1"/>
  <c r="P673" s="1"/>
  <c r="O673" s="1"/>
  <c r="K673" s="1"/>
  <c r="H673" s="1"/>
  <c r="I673"/>
  <c r="L672"/>
  <c r="W671"/>
  <c r="AC671" s="1"/>
  <c r="I671"/>
  <c r="L670"/>
  <c r="G651"/>
  <c r="L651" s="1"/>
  <c r="G650"/>
  <c r="L650" s="1"/>
  <c r="G649"/>
  <c r="D623" s="1"/>
  <c r="G648"/>
  <c r="L648" s="1"/>
  <c r="G647"/>
  <c r="D621" s="1"/>
  <c r="G646"/>
  <c r="D620" s="1"/>
  <c r="G645"/>
  <c r="L645" s="1"/>
  <c r="G644"/>
  <c r="L625"/>
  <c r="I624"/>
  <c r="L623"/>
  <c r="M622"/>
  <c r="N622" s="1"/>
  <c r="P622" s="1"/>
  <c r="O622" s="1"/>
  <c r="K622" s="1"/>
  <c r="H622" s="1"/>
  <c r="I622"/>
  <c r="D622"/>
  <c r="L621"/>
  <c r="M620"/>
  <c r="N620" s="1"/>
  <c r="P620" s="1"/>
  <c r="O620" s="1"/>
  <c r="K620" s="1"/>
  <c r="H620" s="1"/>
  <c r="I620"/>
  <c r="L619"/>
  <c r="M618"/>
  <c r="N618" s="1"/>
  <c r="P618" s="1"/>
  <c r="O618" s="1"/>
  <c r="K618" s="1"/>
  <c r="H618" s="1"/>
  <c r="I618"/>
  <c r="D618"/>
  <c r="I616"/>
  <c r="I614"/>
  <c r="I612"/>
  <c r="I610"/>
  <c r="I608"/>
  <c r="E605"/>
  <c r="Q599"/>
  <c r="M599"/>
  <c r="N599" s="1"/>
  <c r="P599" s="1"/>
  <c r="O599" s="1"/>
  <c r="K599" s="1"/>
  <c r="H599" s="1"/>
  <c r="Q598"/>
  <c r="M598"/>
  <c r="N598" s="1"/>
  <c r="P598" s="1"/>
  <c r="O598" s="1"/>
  <c r="K598" s="1"/>
  <c r="H598" s="1"/>
  <c r="Q597"/>
  <c r="M597"/>
  <c r="N597" s="1"/>
  <c r="P597" s="1"/>
  <c r="O597" s="1"/>
  <c r="K597" s="1"/>
  <c r="H597" s="1"/>
  <c r="Q596"/>
  <c r="M596"/>
  <c r="N596" s="1"/>
  <c r="P596" s="1"/>
  <c r="O596" s="1"/>
  <c r="K596"/>
  <c r="H596" s="1"/>
  <c r="Q595"/>
  <c r="M595"/>
  <c r="N595" s="1"/>
  <c r="P595" s="1"/>
  <c r="O595" s="1"/>
  <c r="K595" s="1"/>
  <c r="H595" s="1"/>
  <c r="Q594"/>
  <c r="M594"/>
  <c r="N594" s="1"/>
  <c r="P594" s="1"/>
  <c r="O594" s="1"/>
  <c r="K594" s="1"/>
  <c r="H594" s="1"/>
  <c r="Q593"/>
  <c r="M593"/>
  <c r="N593" s="1"/>
  <c r="P593" s="1"/>
  <c r="O593" s="1"/>
  <c r="K593" s="1"/>
  <c r="H593" s="1"/>
  <c r="Q592"/>
  <c r="M592"/>
  <c r="N592" s="1"/>
  <c r="P592" s="1"/>
  <c r="O592" s="1"/>
  <c r="K592" s="1"/>
  <c r="H592" s="1"/>
  <c r="X573"/>
  <c r="L573"/>
  <c r="W572"/>
  <c r="AC572" s="1"/>
  <c r="M572"/>
  <c r="N572" s="1"/>
  <c r="P572" s="1"/>
  <c r="O572" s="1"/>
  <c r="K572" s="1"/>
  <c r="H572" s="1"/>
  <c r="I572"/>
  <c r="X571"/>
  <c r="L571"/>
  <c r="W570"/>
  <c r="AC570" s="1"/>
  <c r="M570"/>
  <c r="N570" s="1"/>
  <c r="P570" s="1"/>
  <c r="O570" s="1"/>
  <c r="K570" s="1"/>
  <c r="H570" s="1"/>
  <c r="I570"/>
  <c r="X569"/>
  <c r="L569"/>
  <c r="W568"/>
  <c r="AC568" s="1"/>
  <c r="I568"/>
  <c r="X567"/>
  <c r="L567"/>
  <c r="W566"/>
  <c r="AC566" s="1"/>
  <c r="M566"/>
  <c r="N566" s="1"/>
  <c r="P566" s="1"/>
  <c r="O566" s="1"/>
  <c r="K566" s="1"/>
  <c r="H566" s="1"/>
  <c r="I566"/>
  <c r="E560"/>
  <c r="E559"/>
  <c r="E558"/>
  <c r="E556"/>
  <c r="E553"/>
  <c r="E520"/>
  <c r="E516"/>
  <c r="E513"/>
  <c r="E510"/>
  <c r="E509"/>
  <c r="E502"/>
  <c r="E500"/>
  <c r="E460"/>
  <c r="E459"/>
  <c r="E456"/>
  <c r="E455"/>
  <c r="E454"/>
  <c r="E453"/>
  <c r="E450"/>
  <c r="E448"/>
  <c r="Q440"/>
  <c r="Q438"/>
  <c r="Q436"/>
  <c r="E435"/>
  <c r="E434"/>
  <c r="E433"/>
  <c r="E432"/>
  <c r="E431"/>
  <c r="E430"/>
  <c r="E429"/>
  <c r="E428"/>
  <c r="E427"/>
  <c r="E426"/>
  <c r="E425"/>
  <c r="E424"/>
  <c r="E423"/>
  <c r="E422"/>
  <c r="E421"/>
  <c r="E420"/>
  <c r="E409"/>
  <c r="E408"/>
  <c r="E405"/>
  <c r="E404"/>
  <c r="E401"/>
  <c r="E400"/>
  <c r="C547"/>
  <c r="G547"/>
  <c r="L547" s="1"/>
  <c r="C546"/>
  <c r="G546"/>
  <c r="L546" s="1"/>
  <c r="C545"/>
  <c r="G545"/>
  <c r="L545"/>
  <c r="C544"/>
  <c r="G544"/>
  <c r="L544" s="1"/>
  <c r="C543"/>
  <c r="G543"/>
  <c r="L543" s="1"/>
  <c r="C542"/>
  <c r="G542"/>
  <c r="L542" s="1"/>
  <c r="C541"/>
  <c r="G541"/>
  <c r="L541" s="1"/>
  <c r="C540"/>
  <c r="G540"/>
  <c r="L540" s="1"/>
  <c r="C519"/>
  <c r="L519"/>
  <c r="M518"/>
  <c r="N518" s="1"/>
  <c r="P518" s="1"/>
  <c r="O518" s="1"/>
  <c r="K518" s="1"/>
  <c r="H518" s="1"/>
  <c r="C515"/>
  <c r="L515"/>
  <c r="M514"/>
  <c r="N514" s="1"/>
  <c r="P514" s="1"/>
  <c r="O514" s="1"/>
  <c r="K514" s="1"/>
  <c r="H514" s="1"/>
  <c r="E709"/>
  <c r="E657"/>
  <c r="E561"/>
  <c r="E557"/>
  <c r="E552"/>
  <c r="E518"/>
  <c r="E514"/>
  <c r="E512"/>
  <c r="E511"/>
  <c r="E508"/>
  <c r="E507"/>
  <c r="E506"/>
  <c r="E505"/>
  <c r="E504"/>
  <c r="E503"/>
  <c r="E499"/>
  <c r="T498"/>
  <c r="E487"/>
  <c r="E485"/>
  <c r="E483"/>
  <c r="E481"/>
  <c r="E479"/>
  <c r="E477"/>
  <c r="E476"/>
  <c r="E475"/>
  <c r="E474"/>
  <c r="E473"/>
  <c r="E472"/>
  <c r="E461"/>
  <c r="E458"/>
  <c r="E457"/>
  <c r="E452"/>
  <c r="E451"/>
  <c r="E449"/>
  <c r="E447"/>
  <c r="E446"/>
  <c r="E407"/>
  <c r="E406"/>
  <c r="E403"/>
  <c r="E402"/>
  <c r="E399"/>
  <c r="E398"/>
  <c r="E396"/>
  <c r="E395"/>
  <c r="E394"/>
  <c r="E368"/>
  <c r="M363"/>
  <c r="N363" s="1"/>
  <c r="P363" s="1"/>
  <c r="O363" s="1"/>
  <c r="K363" s="1"/>
  <c r="H363" s="1"/>
  <c r="I361"/>
  <c r="W361"/>
  <c r="AC361" s="1"/>
  <c r="C360"/>
  <c r="L360"/>
  <c r="D520"/>
  <c r="X519"/>
  <c r="D518"/>
  <c r="D516"/>
  <c r="X515"/>
  <c r="D514"/>
  <c r="E501"/>
  <c r="Q495"/>
  <c r="M495"/>
  <c r="N495" s="1"/>
  <c r="P495" s="1"/>
  <c r="O495" s="1"/>
  <c r="K495"/>
  <c r="H495" s="1"/>
  <c r="Q494"/>
  <c r="M494"/>
  <c r="N494" s="1"/>
  <c r="P494" s="1"/>
  <c r="O494" s="1"/>
  <c r="K494" s="1"/>
  <c r="H494" s="1"/>
  <c r="Q493"/>
  <c r="M493"/>
  <c r="N493" s="1"/>
  <c r="P493" s="1"/>
  <c r="O493" s="1"/>
  <c r="K493" s="1"/>
  <c r="H493" s="1"/>
  <c r="Q492"/>
  <c r="M492"/>
  <c r="N492" s="1"/>
  <c r="P492" s="1"/>
  <c r="O492" s="1"/>
  <c r="K492" s="1"/>
  <c r="H492" s="1"/>
  <c r="Q491"/>
  <c r="M491"/>
  <c r="N491" s="1"/>
  <c r="P491" s="1"/>
  <c r="O491" s="1"/>
  <c r="K491" s="1"/>
  <c r="H491" s="1"/>
  <c r="Q490"/>
  <c r="M490"/>
  <c r="N490" s="1"/>
  <c r="P490" s="1"/>
  <c r="O490" s="1"/>
  <c r="K490" s="1"/>
  <c r="H490" s="1"/>
  <c r="Q489"/>
  <c r="M489"/>
  <c r="N489" s="1"/>
  <c r="P489" s="1"/>
  <c r="O489" s="1"/>
  <c r="K489" s="1"/>
  <c r="H489" s="1"/>
  <c r="Q488"/>
  <c r="M488"/>
  <c r="N488" s="1"/>
  <c r="P488" s="1"/>
  <c r="O488" s="1"/>
  <c r="K488" s="1"/>
  <c r="H488" s="1"/>
  <c r="X469"/>
  <c r="L469"/>
  <c r="W468"/>
  <c r="AC468" s="1"/>
  <c r="M468"/>
  <c r="N468" s="1"/>
  <c r="P468" s="1"/>
  <c r="O468" s="1"/>
  <c r="K468"/>
  <c r="H468" s="1"/>
  <c r="I468"/>
  <c r="X467"/>
  <c r="L467"/>
  <c r="W466"/>
  <c r="AC466" s="1"/>
  <c r="M466"/>
  <c r="N466" s="1"/>
  <c r="P466" s="1"/>
  <c r="O466" s="1"/>
  <c r="K466" s="1"/>
  <c r="H466" s="1"/>
  <c r="I466"/>
  <c r="X465"/>
  <c r="L465"/>
  <c r="W464"/>
  <c r="AC464" s="1"/>
  <c r="I464"/>
  <c r="X463"/>
  <c r="L463"/>
  <c r="W462"/>
  <c r="AC462" s="1"/>
  <c r="M462"/>
  <c r="N462" s="1"/>
  <c r="P462" s="1"/>
  <c r="O462" s="1"/>
  <c r="K462" s="1"/>
  <c r="H462" s="1"/>
  <c r="I462"/>
  <c r="Q443"/>
  <c r="M443"/>
  <c r="N443" s="1"/>
  <c r="P443" s="1"/>
  <c r="O443" s="1"/>
  <c r="K443"/>
  <c r="H443" s="1"/>
  <c r="Q442"/>
  <c r="M442"/>
  <c r="N442" s="1"/>
  <c r="P442" s="1"/>
  <c r="O442" s="1"/>
  <c r="K442" s="1"/>
  <c r="H442" s="1"/>
  <c r="Q441"/>
  <c r="M441"/>
  <c r="N441" s="1"/>
  <c r="P441" s="1"/>
  <c r="O441" s="1"/>
  <c r="K441" s="1"/>
  <c r="H441" s="1"/>
  <c r="M440"/>
  <c r="N440" s="1"/>
  <c r="P440" s="1"/>
  <c r="O440" s="1"/>
  <c r="K440" s="1"/>
  <c r="H440" s="1"/>
  <c r="Q439"/>
  <c r="M439"/>
  <c r="N439" s="1"/>
  <c r="P439" s="1"/>
  <c r="O439" s="1"/>
  <c r="K439" s="1"/>
  <c r="H439" s="1"/>
  <c r="M438"/>
  <c r="N438" s="1"/>
  <c r="P438" s="1"/>
  <c r="O438" s="1"/>
  <c r="K438" s="1"/>
  <c r="H438" s="1"/>
  <c r="Q437"/>
  <c r="M437"/>
  <c r="N437" s="1"/>
  <c r="P437" s="1"/>
  <c r="O437" s="1"/>
  <c r="K437" s="1"/>
  <c r="H437" s="1"/>
  <c r="M436"/>
  <c r="N436" s="1"/>
  <c r="P436" s="1"/>
  <c r="O436" s="1"/>
  <c r="K436" s="1"/>
  <c r="H436" s="1"/>
  <c r="M417"/>
  <c r="N417" s="1"/>
  <c r="P417" s="1"/>
  <c r="O417" s="1"/>
  <c r="K417" s="1"/>
  <c r="H417" s="1"/>
  <c r="I417"/>
  <c r="D417"/>
  <c r="L416"/>
  <c r="M415"/>
  <c r="N415" s="1"/>
  <c r="P415" s="1"/>
  <c r="O415" s="1"/>
  <c r="K415" s="1"/>
  <c r="H415" s="1"/>
  <c r="I415"/>
  <c r="D415"/>
  <c r="L414"/>
  <c r="M413"/>
  <c r="N413" s="1"/>
  <c r="P413" s="1"/>
  <c r="O413" s="1"/>
  <c r="K413" s="1"/>
  <c r="H413" s="1"/>
  <c r="I413"/>
  <c r="D413"/>
  <c r="L412"/>
  <c r="I411"/>
  <c r="D411"/>
  <c r="L410"/>
  <c r="I409"/>
  <c r="I407"/>
  <c r="I405"/>
  <c r="I403"/>
  <c r="I401"/>
  <c r="I399"/>
  <c r="I398"/>
  <c r="I397"/>
  <c r="I396"/>
  <c r="I395"/>
  <c r="I394"/>
  <c r="G391"/>
  <c r="L390"/>
  <c r="G390"/>
  <c r="G389"/>
  <c r="G388"/>
  <c r="L388" s="1"/>
  <c r="G387"/>
  <c r="L387" s="1"/>
  <c r="G386"/>
  <c r="L386" s="1"/>
  <c r="G385"/>
  <c r="D359" s="1"/>
  <c r="G384"/>
  <c r="L384" s="1"/>
  <c r="W365"/>
  <c r="AC365" s="1"/>
  <c r="M365"/>
  <c r="N365" s="1"/>
  <c r="P365" s="1"/>
  <c r="O365" s="1"/>
  <c r="K365" s="1"/>
  <c r="H365" s="1"/>
  <c r="I365"/>
  <c r="X364"/>
  <c r="D361"/>
  <c r="E357"/>
  <c r="E355"/>
  <c r="E354"/>
  <c r="E352"/>
  <c r="E351"/>
  <c r="E350"/>
  <c r="E347"/>
  <c r="E346"/>
  <c r="E344"/>
  <c r="E343"/>
  <c r="E304"/>
  <c r="E303"/>
  <c r="E300"/>
  <c r="E299"/>
  <c r="E298"/>
  <c r="E297"/>
  <c r="E294"/>
  <c r="E292"/>
  <c r="I363"/>
  <c r="W363"/>
  <c r="AC363" s="1"/>
  <c r="C362"/>
  <c r="L362"/>
  <c r="I359"/>
  <c r="W359"/>
  <c r="AC359" s="1"/>
  <c r="C358"/>
  <c r="L358"/>
  <c r="D414"/>
  <c r="D412"/>
  <c r="D410"/>
  <c r="E397"/>
  <c r="X358"/>
  <c r="E356"/>
  <c r="E353"/>
  <c r="E349"/>
  <c r="E348"/>
  <c r="E316"/>
  <c r="E305"/>
  <c r="E302"/>
  <c r="E301"/>
  <c r="E296"/>
  <c r="E295"/>
  <c r="E291"/>
  <c r="Q285"/>
  <c r="Q283"/>
  <c r="Q281"/>
  <c r="E279"/>
  <c r="E278"/>
  <c r="E277"/>
  <c r="E276"/>
  <c r="E275"/>
  <c r="E274"/>
  <c r="E273"/>
  <c r="E272"/>
  <c r="E271"/>
  <c r="E270"/>
  <c r="E269"/>
  <c r="E268"/>
  <c r="E267"/>
  <c r="E266"/>
  <c r="E265"/>
  <c r="E264"/>
  <c r="F264" s="1"/>
  <c r="I261"/>
  <c r="W261"/>
  <c r="AC261" s="1"/>
  <c r="C260"/>
  <c r="L260"/>
  <c r="I257"/>
  <c r="W257"/>
  <c r="AC257" s="1"/>
  <c r="C256"/>
  <c r="L256"/>
  <c r="M255"/>
  <c r="N255" s="1"/>
  <c r="P255" s="1"/>
  <c r="O255" s="1"/>
  <c r="K255" s="1"/>
  <c r="H255" s="1"/>
  <c r="G339"/>
  <c r="L339" s="1"/>
  <c r="G338"/>
  <c r="L338" s="1"/>
  <c r="G337"/>
  <c r="L337" s="1"/>
  <c r="G336"/>
  <c r="L336" s="1"/>
  <c r="G335"/>
  <c r="L335" s="1"/>
  <c r="G334"/>
  <c r="L334" s="1"/>
  <c r="G333"/>
  <c r="L333" s="1"/>
  <c r="G332"/>
  <c r="L332" s="1"/>
  <c r="L313"/>
  <c r="M312"/>
  <c r="N312" s="1"/>
  <c r="P312" s="1"/>
  <c r="O312" s="1"/>
  <c r="K312" s="1"/>
  <c r="H312" s="1"/>
  <c r="I312"/>
  <c r="L311"/>
  <c r="I310"/>
  <c r="L309"/>
  <c r="M308"/>
  <c r="N308" s="1"/>
  <c r="P308" s="1"/>
  <c r="O308" s="1"/>
  <c r="K308"/>
  <c r="H308" s="1"/>
  <c r="I308"/>
  <c r="D308"/>
  <c r="L307"/>
  <c r="M306"/>
  <c r="N306" s="1"/>
  <c r="P306" s="1"/>
  <c r="O306" s="1"/>
  <c r="K306" s="1"/>
  <c r="H306" s="1"/>
  <c r="I306"/>
  <c r="D306"/>
  <c r="I304"/>
  <c r="I302"/>
  <c r="I300"/>
  <c r="I298"/>
  <c r="T290" s="1"/>
  <c r="I296"/>
  <c r="E293"/>
  <c r="Q287"/>
  <c r="M287"/>
  <c r="N287" s="1"/>
  <c r="P287" s="1"/>
  <c r="O287" s="1"/>
  <c r="K287" s="1"/>
  <c r="H287" s="1"/>
  <c r="Q286"/>
  <c r="M286"/>
  <c r="N286" s="1"/>
  <c r="P286" s="1"/>
  <c r="O286" s="1"/>
  <c r="K286" s="1"/>
  <c r="H286" s="1"/>
  <c r="M285"/>
  <c r="N285" s="1"/>
  <c r="P285" s="1"/>
  <c r="O285" s="1"/>
  <c r="K285" s="1"/>
  <c r="H285" s="1"/>
  <c r="Q284"/>
  <c r="M284"/>
  <c r="N284" s="1"/>
  <c r="P284" s="1"/>
  <c r="O284" s="1"/>
  <c r="K284" s="1"/>
  <c r="H284" s="1"/>
  <c r="M283"/>
  <c r="N283" s="1"/>
  <c r="P283" s="1"/>
  <c r="O283" s="1"/>
  <c r="K283" s="1"/>
  <c r="H283" s="1"/>
  <c r="Q282"/>
  <c r="M282"/>
  <c r="N282" s="1"/>
  <c r="P282" s="1"/>
  <c r="O282" s="1"/>
  <c r="K282" s="1"/>
  <c r="H282" s="1"/>
  <c r="M281"/>
  <c r="N281" s="1"/>
  <c r="P281" s="1"/>
  <c r="O281" s="1"/>
  <c r="K281" s="1"/>
  <c r="H281" s="1"/>
  <c r="Q280"/>
  <c r="M280"/>
  <c r="N280" s="1"/>
  <c r="P280" s="1"/>
  <c r="O280" s="1"/>
  <c r="K280" s="1"/>
  <c r="H280" s="1"/>
  <c r="X261"/>
  <c r="D261"/>
  <c r="X260"/>
  <c r="D257"/>
  <c r="E253"/>
  <c r="E251"/>
  <c r="E250"/>
  <c r="E248"/>
  <c r="E247"/>
  <c r="E246"/>
  <c r="E244"/>
  <c r="E243"/>
  <c r="E241"/>
  <c r="E212"/>
  <c r="E201"/>
  <c r="E198"/>
  <c r="E197"/>
  <c r="E192"/>
  <c r="E191"/>
  <c r="E187"/>
  <c r="E175"/>
  <c r="E174"/>
  <c r="E173"/>
  <c r="E172"/>
  <c r="E171"/>
  <c r="E170"/>
  <c r="E169"/>
  <c r="E168"/>
  <c r="E167"/>
  <c r="E166"/>
  <c r="E165"/>
  <c r="E164"/>
  <c r="E163"/>
  <c r="E162"/>
  <c r="E161"/>
  <c r="E160"/>
  <c r="E149"/>
  <c r="I259"/>
  <c r="W259"/>
  <c r="AC259" s="1"/>
  <c r="C258"/>
  <c r="L258"/>
  <c r="I255"/>
  <c r="W255"/>
  <c r="AC255" s="1"/>
  <c r="C254"/>
  <c r="L254"/>
  <c r="C235"/>
  <c r="G235"/>
  <c r="D209" s="1"/>
  <c r="C234"/>
  <c r="G234"/>
  <c r="L234" s="1"/>
  <c r="C233"/>
  <c r="G233"/>
  <c r="L233" s="1"/>
  <c r="C232"/>
  <c r="G232"/>
  <c r="L232" s="1"/>
  <c r="C231"/>
  <c r="G231"/>
  <c r="L231" s="1"/>
  <c r="C230"/>
  <c r="G230"/>
  <c r="C229"/>
  <c r="G229"/>
  <c r="L229"/>
  <c r="C228"/>
  <c r="G228"/>
  <c r="E345"/>
  <c r="D311"/>
  <c r="D309"/>
  <c r="D307"/>
  <c r="D259"/>
  <c r="X258"/>
  <c r="D255"/>
  <c r="X254"/>
  <c r="E252"/>
  <c r="E249"/>
  <c r="E245"/>
  <c r="E242"/>
  <c r="E240"/>
  <c r="E239"/>
  <c r="D203"/>
  <c r="E200"/>
  <c r="E199"/>
  <c r="E196"/>
  <c r="E195"/>
  <c r="E194"/>
  <c r="E193"/>
  <c r="E190"/>
  <c r="E188"/>
  <c r="X209"/>
  <c r="L209"/>
  <c r="M208"/>
  <c r="N208" s="1"/>
  <c r="P208" s="1"/>
  <c r="O208" s="1"/>
  <c r="K208" s="1"/>
  <c r="H208" s="1"/>
  <c r="I208"/>
  <c r="X207"/>
  <c r="L207"/>
  <c r="M206"/>
  <c r="N206" s="1"/>
  <c r="P206" s="1"/>
  <c r="O206" s="1"/>
  <c r="K206" s="1"/>
  <c r="H206" s="1"/>
  <c r="I206"/>
  <c r="X205"/>
  <c r="L205"/>
  <c r="M204"/>
  <c r="N204" s="1"/>
  <c r="P204" s="1"/>
  <c r="O204" s="1"/>
  <c r="K204" s="1"/>
  <c r="H204" s="1"/>
  <c r="I204"/>
  <c r="X203"/>
  <c r="L203"/>
  <c r="I202"/>
  <c r="I200"/>
  <c r="I198"/>
  <c r="I196"/>
  <c r="I194"/>
  <c r="I192"/>
  <c r="E189"/>
  <c r="Q183"/>
  <c r="M183"/>
  <c r="N183" s="1"/>
  <c r="P183" s="1"/>
  <c r="O183" s="1"/>
  <c r="K183" s="1"/>
  <c r="H183" s="1"/>
  <c r="Q182"/>
  <c r="M182"/>
  <c r="N182" s="1"/>
  <c r="P182" s="1"/>
  <c r="O182" s="1"/>
  <c r="K182"/>
  <c r="H182" s="1"/>
  <c r="Q181"/>
  <c r="M181"/>
  <c r="N181" s="1"/>
  <c r="P181" s="1"/>
  <c r="O181" s="1"/>
  <c r="K181" s="1"/>
  <c r="H181" s="1"/>
  <c r="Q180"/>
  <c r="M180"/>
  <c r="N180" s="1"/>
  <c r="P180" s="1"/>
  <c r="O180" s="1"/>
  <c r="K180" s="1"/>
  <c r="H180" s="1"/>
  <c r="Q179"/>
  <c r="M179"/>
  <c r="N179" s="1"/>
  <c r="P179" s="1"/>
  <c r="O179" s="1"/>
  <c r="K179" s="1"/>
  <c r="H179" s="1"/>
  <c r="Q178"/>
  <c r="M178"/>
  <c r="N178" s="1"/>
  <c r="P178" s="1"/>
  <c r="O178" s="1"/>
  <c r="K178" s="1"/>
  <c r="H178" s="1"/>
  <c r="Q177"/>
  <c r="M177"/>
  <c r="N177" s="1"/>
  <c r="P177" s="1"/>
  <c r="O177" s="1"/>
  <c r="K177" s="1"/>
  <c r="H177" s="1"/>
  <c r="Q176"/>
  <c r="M176"/>
  <c r="N176" s="1"/>
  <c r="P176" s="1"/>
  <c r="O176" s="1"/>
  <c r="K176" s="1"/>
  <c r="H176" s="1"/>
  <c r="L157"/>
  <c r="W156"/>
  <c r="AC156" s="1"/>
  <c r="M156"/>
  <c r="N156" s="1"/>
  <c r="P156" s="1"/>
  <c r="O156" s="1"/>
  <c r="K156" s="1"/>
  <c r="H156" s="1"/>
  <c r="I156"/>
  <c r="X155"/>
  <c r="L155"/>
  <c r="W154"/>
  <c r="AC154" s="1"/>
  <c r="M154"/>
  <c r="N154" s="1"/>
  <c r="P154" s="1"/>
  <c r="O154" s="1"/>
  <c r="K154" s="1"/>
  <c r="H154" s="1"/>
  <c r="I154"/>
  <c r="L153"/>
  <c r="W152"/>
  <c r="AC152" s="1"/>
  <c r="M152"/>
  <c r="N152" s="1"/>
  <c r="P152" s="1"/>
  <c r="O152" s="1"/>
  <c r="K152" s="1"/>
  <c r="H152" s="1"/>
  <c r="I152"/>
  <c r="X151"/>
  <c r="L151"/>
  <c r="W150"/>
  <c r="AC150" s="1"/>
  <c r="M150"/>
  <c r="N150" s="1"/>
  <c r="P150" s="1"/>
  <c r="O150" s="1"/>
  <c r="K150" s="1"/>
  <c r="H150" s="1"/>
  <c r="I150"/>
  <c r="E147"/>
  <c r="E146"/>
  <c r="E144"/>
  <c r="E143"/>
  <c r="E142"/>
  <c r="E139"/>
  <c r="E138"/>
  <c r="E136"/>
  <c r="E135"/>
  <c r="E96"/>
  <c r="E95"/>
  <c r="E92"/>
  <c r="E91"/>
  <c r="E90"/>
  <c r="E89"/>
  <c r="E86"/>
  <c r="E84"/>
  <c r="E145"/>
  <c r="E141"/>
  <c r="E140"/>
  <c r="E108"/>
  <c r="E97"/>
  <c r="E94"/>
  <c r="E93"/>
  <c r="E88"/>
  <c r="E87"/>
  <c r="G131"/>
  <c r="L131" s="1"/>
  <c r="G130"/>
  <c r="L130" s="1"/>
  <c r="G129"/>
  <c r="L129" s="1"/>
  <c r="G128"/>
  <c r="L128" s="1"/>
  <c r="G127"/>
  <c r="L127" s="1"/>
  <c r="G126"/>
  <c r="L126" s="1"/>
  <c r="G125"/>
  <c r="L125" s="1"/>
  <c r="G124"/>
  <c r="L124" s="1"/>
  <c r="L105"/>
  <c r="M104"/>
  <c r="N104" s="1"/>
  <c r="P104" s="1"/>
  <c r="O104" s="1"/>
  <c r="K104" s="1"/>
  <c r="H104" s="1"/>
  <c r="I104"/>
  <c r="L103"/>
  <c r="M102"/>
  <c r="N102" s="1"/>
  <c r="P102" s="1"/>
  <c r="O102" s="1"/>
  <c r="K102" s="1"/>
  <c r="H102" s="1"/>
  <c r="I102"/>
  <c r="D102"/>
  <c r="L101"/>
  <c r="M100"/>
  <c r="N100" s="1"/>
  <c r="P100" s="1"/>
  <c r="O100" s="1"/>
  <c r="K100" s="1"/>
  <c r="H100" s="1"/>
  <c r="I100"/>
  <c r="L99"/>
  <c r="I98"/>
  <c r="I96"/>
  <c r="I94"/>
  <c r="I92"/>
  <c r="I90"/>
  <c r="I88"/>
  <c r="E85"/>
  <c r="E83"/>
  <c r="E137"/>
  <c r="D99"/>
  <c r="E82"/>
  <c r="E56"/>
  <c r="E53"/>
  <c r="E51"/>
  <c r="E49"/>
  <c r="E47"/>
  <c r="E43"/>
  <c r="E42"/>
  <c r="E39"/>
  <c r="E38"/>
  <c r="E35"/>
  <c r="E34"/>
  <c r="E30"/>
  <c r="I82"/>
  <c r="G79"/>
  <c r="D53" s="1"/>
  <c r="G78"/>
  <c r="D52" s="1"/>
  <c r="G77"/>
  <c r="D51" s="1"/>
  <c r="G76"/>
  <c r="L76" s="1"/>
  <c r="G75"/>
  <c r="L75" s="1"/>
  <c r="G74"/>
  <c r="X48" s="1"/>
  <c r="G73"/>
  <c r="L73" s="1"/>
  <c r="G72"/>
  <c r="L72" s="1"/>
  <c r="W53"/>
  <c r="AC53" s="1"/>
  <c r="M53"/>
  <c r="N53" s="1"/>
  <c r="P53" s="1"/>
  <c r="O53" s="1"/>
  <c r="K53" s="1"/>
  <c r="H53" s="1"/>
  <c r="L52"/>
  <c r="W51"/>
  <c r="AC51" s="1"/>
  <c r="M51"/>
  <c r="N51" s="1"/>
  <c r="P51" s="1"/>
  <c r="O51" s="1"/>
  <c r="K51" s="1"/>
  <c r="H51" s="1"/>
  <c r="L50"/>
  <c r="W49"/>
  <c r="AC49" s="1"/>
  <c r="M49"/>
  <c r="N49" s="1"/>
  <c r="P49" s="1"/>
  <c r="O49" s="1"/>
  <c r="K49" s="1"/>
  <c r="H49" s="1"/>
  <c r="L48"/>
  <c r="W47"/>
  <c r="AC47" s="1"/>
  <c r="E45"/>
  <c r="E44"/>
  <c r="E41"/>
  <c r="E40"/>
  <c r="E37"/>
  <c r="E36"/>
  <c r="E32"/>
  <c r="L46"/>
  <c r="E31"/>
  <c r="M3"/>
  <c r="N3" s="1"/>
  <c r="P3" s="1"/>
  <c r="O3" s="1"/>
  <c r="K2"/>
  <c r="E33"/>
  <c r="M25"/>
  <c r="N25" s="1"/>
  <c r="P25" s="1"/>
  <c r="O25" s="1"/>
  <c r="M23"/>
  <c r="N23" s="1"/>
  <c r="P23" s="1"/>
  <c r="O23" s="1"/>
  <c r="M21"/>
  <c r="N21" s="1"/>
  <c r="P21" s="1"/>
  <c r="O21" s="1"/>
  <c r="M19"/>
  <c r="N19" s="1"/>
  <c r="P19" s="1"/>
  <c r="O19" s="1"/>
  <c r="M17"/>
  <c r="N17" s="1"/>
  <c r="P17" s="1"/>
  <c r="O17" s="1"/>
  <c r="M15"/>
  <c r="N15" s="1"/>
  <c r="P15" s="1"/>
  <c r="O15" s="1"/>
  <c r="M13"/>
  <c r="N13" s="1"/>
  <c r="P13" s="1"/>
  <c r="O13" s="1"/>
  <c r="M11"/>
  <c r="N11" s="1"/>
  <c r="P11" s="1"/>
  <c r="O11" s="1"/>
  <c r="M9"/>
  <c r="N9" s="1"/>
  <c r="P9" s="1"/>
  <c r="O9" s="1"/>
  <c r="M7"/>
  <c r="N7" s="1"/>
  <c r="P7" s="1"/>
  <c r="O7" s="1"/>
  <c r="M5"/>
  <c r="N5" s="1"/>
  <c r="P5" s="1"/>
  <c r="O5" s="1"/>
  <c r="D248" i="5"/>
  <c r="D245"/>
  <c r="D179"/>
  <c r="D171"/>
  <c r="D21"/>
  <c r="D93"/>
  <c r="D106"/>
  <c r="D528"/>
  <c r="D525"/>
  <c r="D490"/>
  <c r="D466"/>
  <c r="D462"/>
  <c r="D176"/>
  <c r="D168"/>
  <c r="D172"/>
  <c r="D34"/>
  <c r="D30"/>
  <c r="D26"/>
  <c r="D35"/>
  <c r="D27"/>
  <c r="D58"/>
  <c r="D239"/>
  <c r="D174"/>
  <c r="D100"/>
  <c r="D25"/>
  <c r="D56"/>
  <c r="D560"/>
  <c r="D243"/>
  <c r="D170"/>
  <c r="D96"/>
  <c r="D459"/>
  <c r="D457"/>
  <c r="D393"/>
  <c r="D346"/>
  <c r="D320"/>
  <c r="D313"/>
  <c r="D394"/>
  <c r="D386"/>
  <c r="D381"/>
  <c r="D319"/>
  <c r="D539"/>
  <c r="D535"/>
  <c r="D531"/>
  <c r="D488"/>
  <c r="D249"/>
  <c r="D241"/>
  <c r="D130"/>
  <c r="D128"/>
  <c r="D102"/>
  <c r="D32"/>
  <c r="D28"/>
  <c r="D24"/>
  <c r="D247"/>
  <c r="D202"/>
  <c r="D165"/>
  <c r="D33"/>
  <c r="D200"/>
  <c r="D562"/>
  <c r="D251"/>
  <c r="D178"/>
  <c r="D104"/>
  <c r="D29"/>
  <c r="D458"/>
  <c r="D456"/>
  <c r="D453"/>
  <c r="D395"/>
  <c r="D391"/>
  <c r="D388"/>
  <c r="D322"/>
  <c r="D318"/>
  <c r="D314"/>
  <c r="D312"/>
  <c r="D309"/>
  <c r="D416"/>
  <c r="D392"/>
  <c r="D387"/>
  <c r="D385"/>
  <c r="D383"/>
  <c r="D321"/>
  <c r="D317"/>
  <c r="D274"/>
  <c r="D272"/>
  <c r="D455"/>
  <c r="D389"/>
  <c r="D344"/>
  <c r="D315"/>
  <c r="D311"/>
  <c r="D390"/>
  <c r="D384"/>
  <c r="D460"/>
  <c r="D323"/>
  <c r="D316"/>
  <c r="I560"/>
  <c r="I488"/>
  <c r="I416"/>
  <c r="I272"/>
  <c r="I344"/>
  <c r="Q245" l="1"/>
  <c r="T397"/>
  <c r="T433"/>
  <c r="T469"/>
  <c r="T505"/>
  <c r="T541"/>
  <c r="T577"/>
  <c r="L170"/>
  <c r="L178"/>
  <c r="S86"/>
  <c r="Y269"/>
  <c r="V269" s="1"/>
  <c r="F92"/>
  <c r="S196"/>
  <c r="Y196"/>
  <c r="V196" s="1"/>
  <c r="S592"/>
  <c r="S52"/>
  <c r="S410"/>
  <c r="S482"/>
  <c r="S230"/>
  <c r="S338"/>
  <c r="S50"/>
  <c r="S590"/>
  <c r="S374"/>
  <c r="S194"/>
  <c r="Y338"/>
  <c r="V338" s="1"/>
  <c r="Y50"/>
  <c r="V50" s="1"/>
  <c r="S192"/>
  <c r="Y192"/>
  <c r="V192" s="1"/>
  <c r="S588"/>
  <c r="S48"/>
  <c r="S46"/>
  <c r="Y46"/>
  <c r="V46" s="1"/>
  <c r="S82"/>
  <c r="S586"/>
  <c r="S226"/>
  <c r="S190"/>
  <c r="S333"/>
  <c r="Y333"/>
  <c r="V333" s="1"/>
  <c r="Y188"/>
  <c r="V188" s="1"/>
  <c r="S584"/>
  <c r="S44"/>
  <c r="S78"/>
  <c r="S222"/>
  <c r="S366"/>
  <c r="S582"/>
  <c r="S294"/>
  <c r="S186"/>
  <c r="S510"/>
  <c r="S148"/>
  <c r="S508"/>
  <c r="S580"/>
  <c r="S40"/>
  <c r="F308"/>
  <c r="S146"/>
  <c r="S38"/>
  <c r="S182"/>
  <c r="S578"/>
  <c r="S74"/>
  <c r="S218"/>
  <c r="M151"/>
  <c r="N151" s="1"/>
  <c r="P151" s="1"/>
  <c r="O151" s="1"/>
  <c r="K151" s="1"/>
  <c r="H151" s="1"/>
  <c r="M514"/>
  <c r="N514" s="1"/>
  <c r="P514" s="1"/>
  <c r="O514" s="1"/>
  <c r="K514" s="1"/>
  <c r="H514" s="1"/>
  <c r="M518"/>
  <c r="N518" s="1"/>
  <c r="P518" s="1"/>
  <c r="O518" s="1"/>
  <c r="K518" s="1"/>
  <c r="H518" s="1"/>
  <c r="M159"/>
  <c r="N159" s="1"/>
  <c r="P159" s="1"/>
  <c r="O159" s="1"/>
  <c r="K159" s="1"/>
  <c r="H159" s="1"/>
  <c r="M512"/>
  <c r="N512" s="1"/>
  <c r="P512" s="1"/>
  <c r="O512" s="1"/>
  <c r="K512" s="1"/>
  <c r="H512" s="1"/>
  <c r="M516"/>
  <c r="N516" s="1"/>
  <c r="P516" s="1"/>
  <c r="O516" s="1"/>
  <c r="K516" s="1"/>
  <c r="H516" s="1"/>
  <c r="M520"/>
  <c r="N520" s="1"/>
  <c r="P520" s="1"/>
  <c r="O520" s="1"/>
  <c r="K520" s="1"/>
  <c r="H520" s="1"/>
  <c r="L74" i="6"/>
  <c r="L77"/>
  <c r="L78"/>
  <c r="L79"/>
  <c r="D103"/>
  <c r="D207"/>
  <c r="X360"/>
  <c r="F446"/>
  <c r="F472"/>
  <c r="X670"/>
  <c r="X672"/>
  <c r="F732"/>
  <c r="D780"/>
  <c r="T810"/>
  <c r="S367" i="5"/>
  <c r="S370"/>
  <c r="Y186"/>
  <c r="V186" s="1"/>
  <c r="Y44"/>
  <c r="V44" s="1"/>
  <c r="Y190"/>
  <c r="V190" s="1"/>
  <c r="Y48"/>
  <c r="V48" s="1"/>
  <c r="Y194"/>
  <c r="V194" s="1"/>
  <c r="Y52"/>
  <c r="V52" s="1"/>
  <c r="T145"/>
  <c r="T181"/>
  <c r="T217"/>
  <c r="S475"/>
  <c r="S330"/>
  <c r="S507"/>
  <c r="S511"/>
  <c r="D722" i="6"/>
  <c r="S80" i="5"/>
  <c r="S88"/>
  <c r="S224"/>
  <c r="L568" i="6"/>
  <c r="X152"/>
  <c r="F272" i="5"/>
  <c r="S290"/>
  <c r="F416"/>
  <c r="S363"/>
  <c r="Y40"/>
  <c r="V40" s="1"/>
  <c r="S341"/>
  <c r="S509"/>
  <c r="S76"/>
  <c r="S84"/>
  <c r="S220"/>
  <c r="S228"/>
  <c r="L506"/>
  <c r="M506" s="1"/>
  <c r="N506" s="1"/>
  <c r="P506" s="1"/>
  <c r="O506" s="1"/>
  <c r="K506" s="1"/>
  <c r="H506" s="1"/>
  <c r="S506" s="1"/>
  <c r="M513"/>
  <c r="N513" s="1"/>
  <c r="P513" s="1"/>
  <c r="O513" s="1"/>
  <c r="K513" s="1"/>
  <c r="H513" s="1"/>
  <c r="M517"/>
  <c r="N517" s="1"/>
  <c r="P517" s="1"/>
  <c r="O517" s="1"/>
  <c r="K517" s="1"/>
  <c r="H517" s="1"/>
  <c r="M521"/>
  <c r="N521" s="1"/>
  <c r="P521" s="1"/>
  <c r="O521" s="1"/>
  <c r="K521" s="1"/>
  <c r="H521" s="1"/>
  <c r="M153"/>
  <c r="N153" s="1"/>
  <c r="P153" s="1"/>
  <c r="O153" s="1"/>
  <c r="K153" s="1"/>
  <c r="H153" s="1"/>
  <c r="M161"/>
  <c r="N161" s="1"/>
  <c r="P161" s="1"/>
  <c r="O161" s="1"/>
  <c r="K161" s="1"/>
  <c r="H161" s="1"/>
  <c r="M362"/>
  <c r="N362" s="1"/>
  <c r="P362" s="1"/>
  <c r="O362" s="1"/>
  <c r="K362" s="1"/>
  <c r="H362" s="1"/>
  <c r="M671" i="6"/>
  <c r="N671" s="1"/>
  <c r="P671" s="1"/>
  <c r="O671" s="1"/>
  <c r="K671" s="1"/>
  <c r="H671" s="1"/>
  <c r="M855"/>
  <c r="N855" s="1"/>
  <c r="P855" s="1"/>
  <c r="O855" s="1"/>
  <c r="K855" s="1"/>
  <c r="H855" s="1"/>
  <c r="M368" i="5"/>
  <c r="N368" s="1"/>
  <c r="P368" s="1"/>
  <c r="O368" s="1"/>
  <c r="K368" s="1"/>
  <c r="H368" s="1"/>
  <c r="M515"/>
  <c r="N515" s="1"/>
  <c r="P515" s="1"/>
  <c r="O515" s="1"/>
  <c r="K515" s="1"/>
  <c r="H515" s="1"/>
  <c r="M519"/>
  <c r="N519" s="1"/>
  <c r="P519" s="1"/>
  <c r="O519" s="1"/>
  <c r="K519" s="1"/>
  <c r="H519" s="1"/>
  <c r="M149"/>
  <c r="N149" s="1"/>
  <c r="P149" s="1"/>
  <c r="O149" s="1"/>
  <c r="K149" s="1"/>
  <c r="H149" s="1"/>
  <c r="M157"/>
  <c r="N157" s="1"/>
  <c r="P157" s="1"/>
  <c r="O157" s="1"/>
  <c r="K157" s="1"/>
  <c r="H157" s="1"/>
  <c r="M292"/>
  <c r="N292" s="1"/>
  <c r="P292" s="1"/>
  <c r="O292" s="1"/>
  <c r="K292" s="1"/>
  <c r="H292" s="1"/>
  <c r="M372"/>
  <c r="N372" s="1"/>
  <c r="P372" s="1"/>
  <c r="O372" s="1"/>
  <c r="K372" s="1"/>
  <c r="H372" s="1"/>
  <c r="M364" i="6"/>
  <c r="N364" s="1"/>
  <c r="P364" s="1"/>
  <c r="O364" s="1"/>
  <c r="K364" s="1"/>
  <c r="H364"/>
  <c r="M859"/>
  <c r="N859" s="1"/>
  <c r="P859" s="1"/>
  <c r="O859" s="1"/>
  <c r="K859" s="1"/>
  <c r="H859" s="1"/>
  <c r="M232" i="5"/>
  <c r="N232" s="1"/>
  <c r="P232" s="1"/>
  <c r="O232" s="1"/>
  <c r="K232" s="1"/>
  <c r="H232" s="1"/>
  <c r="M376"/>
  <c r="N376" s="1"/>
  <c r="P376" s="1"/>
  <c r="O376" s="1"/>
  <c r="K376" s="1"/>
  <c r="H376" s="1"/>
  <c r="D48" i="6"/>
  <c r="F82"/>
  <c r="D101"/>
  <c r="D105"/>
  <c r="D98"/>
  <c r="D100"/>
  <c r="D104"/>
  <c r="X153"/>
  <c r="X157"/>
  <c r="T186"/>
  <c r="D206"/>
  <c r="L235"/>
  <c r="X256"/>
  <c r="X257"/>
  <c r="D310"/>
  <c r="D312"/>
  <c r="X362"/>
  <c r="X517"/>
  <c r="X521"/>
  <c r="T602"/>
  <c r="D624"/>
  <c r="X677"/>
  <c r="D778"/>
  <c r="X781"/>
  <c r="T109" i="5"/>
  <c r="L435"/>
  <c r="L436"/>
  <c r="L437"/>
  <c r="L438"/>
  <c r="L439"/>
  <c r="L440"/>
  <c r="L441"/>
  <c r="L442"/>
  <c r="L443"/>
  <c r="L444"/>
  <c r="L445"/>
  <c r="L446"/>
  <c r="L447"/>
  <c r="L448"/>
  <c r="L449"/>
  <c r="S293"/>
  <c r="U34" i="6"/>
  <c r="F836"/>
  <c r="S365" i="5"/>
  <c r="S369"/>
  <c r="S373"/>
  <c r="S377"/>
  <c r="S476"/>
  <c r="S480"/>
  <c r="S484"/>
  <c r="T343"/>
  <c r="S403"/>
  <c r="S411"/>
  <c r="S473"/>
  <c r="S477"/>
  <c r="S481"/>
  <c r="S485"/>
  <c r="Y341"/>
  <c r="V341" s="1"/>
  <c r="L464" i="6"/>
  <c r="F20" i="5"/>
  <c r="T276"/>
  <c r="T492"/>
  <c r="T528"/>
  <c r="T564"/>
  <c r="T348"/>
  <c r="T420"/>
  <c r="X566" i="6"/>
  <c r="X568"/>
  <c r="X671"/>
  <c r="S291" i="5"/>
  <c r="S295"/>
  <c r="S434"/>
  <c r="S364"/>
  <c r="S371"/>
  <c r="S375"/>
  <c r="Y330"/>
  <c r="V330" s="1"/>
  <c r="X47" i="6"/>
  <c r="X150"/>
  <c r="X46"/>
  <c r="D202"/>
  <c r="T325" i="5"/>
  <c r="T253"/>
  <c r="T415"/>
  <c r="T487"/>
  <c r="F160" i="6"/>
  <c r="F576"/>
  <c r="F420"/>
  <c r="F758"/>
  <c r="F810"/>
  <c r="F30"/>
  <c r="F394"/>
  <c r="F706"/>
  <c r="S53"/>
  <c r="V53" s="1"/>
  <c r="Y53"/>
  <c r="S100"/>
  <c r="V100" s="1"/>
  <c r="Z48"/>
  <c r="S104"/>
  <c r="V104" s="1"/>
  <c r="Z52"/>
  <c r="S150"/>
  <c r="V150" s="1"/>
  <c r="Y150"/>
  <c r="S154"/>
  <c r="V154" s="1"/>
  <c r="Y154"/>
  <c r="S177"/>
  <c r="V177" s="1"/>
  <c r="AA151"/>
  <c r="S178"/>
  <c r="V178" s="1"/>
  <c r="AA152"/>
  <c r="S181"/>
  <c r="V181" s="1"/>
  <c r="AA155"/>
  <c r="S182"/>
  <c r="V182" s="1"/>
  <c r="AA156"/>
  <c r="S204"/>
  <c r="V204" s="1"/>
  <c r="Z152"/>
  <c r="S208"/>
  <c r="V208" s="1"/>
  <c r="Z156"/>
  <c r="M232"/>
  <c r="N232" s="1"/>
  <c r="P232" s="1"/>
  <c r="O232" s="1"/>
  <c r="K232" s="1"/>
  <c r="H232" s="1"/>
  <c r="S257"/>
  <c r="V257" s="1"/>
  <c r="Y257"/>
  <c r="S280"/>
  <c r="V280" s="1"/>
  <c r="AA254"/>
  <c r="S281"/>
  <c r="V281" s="1"/>
  <c r="AA255"/>
  <c r="S282"/>
  <c r="V282" s="1"/>
  <c r="AA256"/>
  <c r="S284"/>
  <c r="V284" s="1"/>
  <c r="AA258"/>
  <c r="S285"/>
  <c r="V285" s="1"/>
  <c r="AA259"/>
  <c r="S286"/>
  <c r="V286" s="1"/>
  <c r="AA260"/>
  <c r="S310"/>
  <c r="V310" s="1"/>
  <c r="Z258"/>
  <c r="S312"/>
  <c r="V312" s="1"/>
  <c r="Z260"/>
  <c r="S361"/>
  <c r="V361" s="1"/>
  <c r="Y361"/>
  <c r="S411"/>
  <c r="V411" s="1"/>
  <c r="Z359"/>
  <c r="S413"/>
  <c r="V413" s="1"/>
  <c r="Z361"/>
  <c r="S438"/>
  <c r="V438" s="1"/>
  <c r="AB360"/>
  <c r="S442"/>
  <c r="V442" s="1"/>
  <c r="AB364"/>
  <c r="S443"/>
  <c r="V443" s="1"/>
  <c r="AB365"/>
  <c r="S462"/>
  <c r="V462" s="1"/>
  <c r="Y462"/>
  <c r="S468"/>
  <c r="V468" s="1"/>
  <c r="Y468"/>
  <c r="S490"/>
  <c r="V490" s="1"/>
  <c r="AA464"/>
  <c r="S491"/>
  <c r="V491" s="1"/>
  <c r="AA465"/>
  <c r="S494"/>
  <c r="V494" s="1"/>
  <c r="AA468"/>
  <c r="S495"/>
  <c r="V495" s="1"/>
  <c r="AA469"/>
  <c r="S359"/>
  <c r="V359" s="1"/>
  <c r="Y359"/>
  <c r="K540"/>
  <c r="H540" s="1"/>
  <c r="M540"/>
  <c r="N540" s="1"/>
  <c r="P540" s="1"/>
  <c r="O540" s="1"/>
  <c r="M544"/>
  <c r="N544" s="1"/>
  <c r="P544" s="1"/>
  <c r="O544" s="1"/>
  <c r="K544" s="1"/>
  <c r="H544" s="1"/>
  <c r="S570"/>
  <c r="V570" s="1"/>
  <c r="Y570"/>
  <c r="S572"/>
  <c r="V572" s="1"/>
  <c r="Y572"/>
  <c r="S592"/>
  <c r="V592" s="1"/>
  <c r="AA566"/>
  <c r="S595"/>
  <c r="V595" s="1"/>
  <c r="AA569"/>
  <c r="S596"/>
  <c r="V596" s="1"/>
  <c r="AA570"/>
  <c r="S599"/>
  <c r="V599" s="1"/>
  <c r="AA573"/>
  <c r="S618"/>
  <c r="V618" s="1"/>
  <c r="Z566"/>
  <c r="S622"/>
  <c r="V622" s="1"/>
  <c r="Z570"/>
  <c r="M648"/>
  <c r="N648" s="1"/>
  <c r="P648" s="1"/>
  <c r="O648" s="1"/>
  <c r="K648" s="1"/>
  <c r="H648" s="1"/>
  <c r="M650"/>
  <c r="N650" s="1"/>
  <c r="P650" s="1"/>
  <c r="O650" s="1"/>
  <c r="K650" s="1"/>
  <c r="H650" s="1"/>
  <c r="S673"/>
  <c r="V673" s="1"/>
  <c r="Y673"/>
  <c r="S675"/>
  <c r="V675" s="1"/>
  <c r="Y675"/>
  <c r="S723"/>
  <c r="V723" s="1"/>
  <c r="Z671"/>
  <c r="S725"/>
  <c r="V725" s="1"/>
  <c r="Z673"/>
  <c r="S727"/>
  <c r="V727" s="1"/>
  <c r="Z675"/>
  <c r="S729"/>
  <c r="V729" s="1"/>
  <c r="Z677"/>
  <c r="S520"/>
  <c r="V520" s="1"/>
  <c r="Z468"/>
  <c r="S750"/>
  <c r="V750" s="1"/>
  <c r="AB672"/>
  <c r="M801"/>
  <c r="N801" s="1"/>
  <c r="P801" s="1"/>
  <c r="O801" s="1"/>
  <c r="K801" s="1"/>
  <c r="H801" s="1"/>
  <c r="M805"/>
  <c r="N805" s="1"/>
  <c r="P805" s="1"/>
  <c r="O805" s="1"/>
  <c r="K805" s="1"/>
  <c r="H805" s="1"/>
  <c r="S827"/>
  <c r="V827" s="1"/>
  <c r="Z775"/>
  <c r="S829"/>
  <c r="V829" s="1"/>
  <c r="Z777"/>
  <c r="S831"/>
  <c r="V831" s="1"/>
  <c r="Z779"/>
  <c r="S833"/>
  <c r="V833" s="1"/>
  <c r="Z781"/>
  <c r="S852"/>
  <c r="V852" s="1"/>
  <c r="AB774"/>
  <c r="S854"/>
  <c r="V854" s="1"/>
  <c r="AB776"/>
  <c r="S856"/>
  <c r="V856" s="1"/>
  <c r="AB778"/>
  <c r="S858"/>
  <c r="V858" s="1"/>
  <c r="AB780"/>
  <c r="S749"/>
  <c r="V749" s="1"/>
  <c r="AB671"/>
  <c r="S751"/>
  <c r="V751" s="1"/>
  <c r="AB673"/>
  <c r="S47"/>
  <c r="V47" s="1"/>
  <c r="Y47"/>
  <c r="S51"/>
  <c r="V51" s="1"/>
  <c r="Y51"/>
  <c r="S98"/>
  <c r="V98" s="1"/>
  <c r="Z46"/>
  <c r="S102"/>
  <c r="V102" s="1"/>
  <c r="Z50"/>
  <c r="S152"/>
  <c r="V152" s="1"/>
  <c r="Y152"/>
  <c r="S156"/>
  <c r="V156" s="1"/>
  <c r="Y156"/>
  <c r="S176"/>
  <c r="V176" s="1"/>
  <c r="AA150"/>
  <c r="S179"/>
  <c r="V179" s="1"/>
  <c r="AA153"/>
  <c r="S180"/>
  <c r="V180" s="1"/>
  <c r="AA154"/>
  <c r="S183"/>
  <c r="V183" s="1"/>
  <c r="AA157"/>
  <c r="S202"/>
  <c r="V202" s="1"/>
  <c r="Z150"/>
  <c r="S206"/>
  <c r="V206" s="1"/>
  <c r="Z154"/>
  <c r="M234"/>
  <c r="N234" s="1"/>
  <c r="P234" s="1"/>
  <c r="O234" s="1"/>
  <c r="K234" s="1"/>
  <c r="H234" s="1"/>
  <c r="S261"/>
  <c r="V261" s="1"/>
  <c r="Y261"/>
  <c r="S283"/>
  <c r="V283" s="1"/>
  <c r="AA257"/>
  <c r="S287"/>
  <c r="V287" s="1"/>
  <c r="AA261"/>
  <c r="S306"/>
  <c r="V306" s="1"/>
  <c r="Z254"/>
  <c r="S308"/>
  <c r="V308" s="1"/>
  <c r="Z256"/>
  <c r="S259"/>
  <c r="V259" s="1"/>
  <c r="Y259"/>
  <c r="S365"/>
  <c r="V365" s="1"/>
  <c r="Y365"/>
  <c r="M387"/>
  <c r="N387" s="1"/>
  <c r="P387" s="1"/>
  <c r="O387" s="1"/>
  <c r="K387" s="1"/>
  <c r="H387" s="1"/>
  <c r="S415"/>
  <c r="V415" s="1"/>
  <c r="Z363"/>
  <c r="S417"/>
  <c r="V417" s="1"/>
  <c r="Z365"/>
  <c r="S436"/>
  <c r="V436" s="1"/>
  <c r="AB358"/>
  <c r="S437"/>
  <c r="V437" s="1"/>
  <c r="AB359"/>
  <c r="S439"/>
  <c r="V439" s="1"/>
  <c r="AB361"/>
  <c r="S440"/>
  <c r="V440" s="1"/>
  <c r="AB362"/>
  <c r="S441"/>
  <c r="V441" s="1"/>
  <c r="AB363"/>
  <c r="S466"/>
  <c r="V466" s="1"/>
  <c r="Y466"/>
  <c r="S488"/>
  <c r="V488" s="1"/>
  <c r="AA462"/>
  <c r="S489"/>
  <c r="V489" s="1"/>
  <c r="AA463"/>
  <c r="S492"/>
  <c r="V492" s="1"/>
  <c r="AA466"/>
  <c r="S493"/>
  <c r="V493" s="1"/>
  <c r="AA467"/>
  <c r="S363"/>
  <c r="V363" s="1"/>
  <c r="Y363"/>
  <c r="S514"/>
  <c r="V514" s="1"/>
  <c r="Z462"/>
  <c r="S518"/>
  <c r="V518" s="1"/>
  <c r="Z466"/>
  <c r="M542"/>
  <c r="N542" s="1"/>
  <c r="P542" s="1"/>
  <c r="O542" s="1"/>
  <c r="K542" s="1"/>
  <c r="H542" s="1"/>
  <c r="M546"/>
  <c r="N546" s="1"/>
  <c r="P546" s="1"/>
  <c r="O546" s="1"/>
  <c r="K546" s="1"/>
  <c r="H546" s="1"/>
  <c r="S566"/>
  <c r="V566" s="1"/>
  <c r="Y566"/>
  <c r="S593"/>
  <c r="V593" s="1"/>
  <c r="AA567"/>
  <c r="S594"/>
  <c r="V594" s="1"/>
  <c r="AA568"/>
  <c r="S597"/>
  <c r="V597" s="1"/>
  <c r="AA571"/>
  <c r="S598"/>
  <c r="V598" s="1"/>
  <c r="AA572"/>
  <c r="S620"/>
  <c r="V620" s="1"/>
  <c r="Z568"/>
  <c r="S624"/>
  <c r="V624" s="1"/>
  <c r="Z572"/>
  <c r="M645"/>
  <c r="N645" s="1"/>
  <c r="P645" s="1"/>
  <c r="O645" s="1"/>
  <c r="K645" s="1"/>
  <c r="H645" s="1"/>
  <c r="M651"/>
  <c r="N651" s="1"/>
  <c r="P651" s="1"/>
  <c r="O651" s="1"/>
  <c r="K651" s="1"/>
  <c r="H651" s="1"/>
  <c r="S677"/>
  <c r="V677" s="1"/>
  <c r="Y677"/>
  <c r="M699"/>
  <c r="N699" s="1"/>
  <c r="P699" s="1"/>
  <c r="O699" s="1"/>
  <c r="K699" s="1"/>
  <c r="H699" s="1"/>
  <c r="S748"/>
  <c r="V748" s="1"/>
  <c r="AB670"/>
  <c r="S516"/>
  <c r="V516" s="1"/>
  <c r="Z464"/>
  <c r="S752"/>
  <c r="V752" s="1"/>
  <c r="AB674"/>
  <c r="S754"/>
  <c r="V754" s="1"/>
  <c r="AB676"/>
  <c r="S780"/>
  <c r="V780" s="1"/>
  <c r="Y780"/>
  <c r="S781"/>
  <c r="V781" s="1"/>
  <c r="Y781"/>
  <c r="K803"/>
  <c r="H803" s="1"/>
  <c r="M803"/>
  <c r="N803" s="1"/>
  <c r="P803" s="1"/>
  <c r="O803" s="1"/>
  <c r="S853"/>
  <c r="V853" s="1"/>
  <c r="AB775"/>
  <c r="S857"/>
  <c r="V857" s="1"/>
  <c r="AB779"/>
  <c r="S753"/>
  <c r="V753" s="1"/>
  <c r="AB675"/>
  <c r="S755"/>
  <c r="V755" s="1"/>
  <c r="AB677"/>
  <c r="M72"/>
  <c r="N72" s="1"/>
  <c r="P72" s="1"/>
  <c r="O72" s="1"/>
  <c r="K72" s="1"/>
  <c r="H72" s="1"/>
  <c r="M74"/>
  <c r="N74" s="1"/>
  <c r="P74" s="1"/>
  <c r="O74" s="1"/>
  <c r="K74" s="1"/>
  <c r="H74" s="1"/>
  <c r="M76"/>
  <c r="N76" s="1"/>
  <c r="P76" s="1"/>
  <c r="O76" s="1"/>
  <c r="K76" s="1"/>
  <c r="H76" s="1"/>
  <c r="M78"/>
  <c r="N78" s="1"/>
  <c r="P78" s="1"/>
  <c r="O78" s="1"/>
  <c r="K78" s="1"/>
  <c r="H78" s="1"/>
  <c r="S49"/>
  <c r="V49" s="1"/>
  <c r="Y49"/>
  <c r="M103"/>
  <c r="N103" s="1"/>
  <c r="P103" s="1"/>
  <c r="O103" s="1"/>
  <c r="K103" s="1"/>
  <c r="H103" s="1"/>
  <c r="M105"/>
  <c r="N105" s="1"/>
  <c r="P105" s="1"/>
  <c r="O105" s="1"/>
  <c r="K105" s="1"/>
  <c r="H105" s="1"/>
  <c r="M125"/>
  <c r="N125" s="1"/>
  <c r="P125" s="1"/>
  <c r="O125" s="1"/>
  <c r="K125" s="1"/>
  <c r="H125" s="1"/>
  <c r="M127"/>
  <c r="N127" s="1"/>
  <c r="P127" s="1"/>
  <c r="O127" s="1"/>
  <c r="K127" s="1"/>
  <c r="H127" s="1"/>
  <c r="M129"/>
  <c r="N129" s="1"/>
  <c r="P129" s="1"/>
  <c r="O129" s="1"/>
  <c r="K129" s="1"/>
  <c r="H129" s="1"/>
  <c r="M131"/>
  <c r="N131" s="1"/>
  <c r="P131" s="1"/>
  <c r="O131" s="1"/>
  <c r="K131" s="1"/>
  <c r="H131" s="1"/>
  <c r="M151"/>
  <c r="N151" s="1"/>
  <c r="P151" s="1"/>
  <c r="O151" s="1"/>
  <c r="K151" s="1"/>
  <c r="H151" s="1"/>
  <c r="M153"/>
  <c r="N153" s="1"/>
  <c r="P153" s="1"/>
  <c r="O153" s="1"/>
  <c r="K153" s="1"/>
  <c r="H153" s="1"/>
  <c r="M155"/>
  <c r="N155" s="1"/>
  <c r="P155" s="1"/>
  <c r="O155" s="1"/>
  <c r="K155" s="1"/>
  <c r="H155" s="1"/>
  <c r="M157"/>
  <c r="N157" s="1"/>
  <c r="P157" s="1"/>
  <c r="O157" s="1"/>
  <c r="K157" s="1"/>
  <c r="H157" s="1"/>
  <c r="M203"/>
  <c r="N203" s="1"/>
  <c r="P203" s="1"/>
  <c r="O203" s="1"/>
  <c r="K203" s="1"/>
  <c r="H203" s="1"/>
  <c r="M207"/>
  <c r="N207" s="1"/>
  <c r="P207" s="1"/>
  <c r="O207" s="1"/>
  <c r="K207" s="1"/>
  <c r="H207" s="1"/>
  <c r="M229"/>
  <c r="N229" s="1"/>
  <c r="P229" s="1"/>
  <c r="O229" s="1"/>
  <c r="K229" s="1"/>
  <c r="H229" s="1"/>
  <c r="X204"/>
  <c r="Q230"/>
  <c r="M235"/>
  <c r="N235" s="1"/>
  <c r="P235" s="1"/>
  <c r="O235" s="1"/>
  <c r="K235" s="1"/>
  <c r="H235" s="1"/>
  <c r="M254"/>
  <c r="N254" s="1"/>
  <c r="P254" s="1"/>
  <c r="O254" s="1"/>
  <c r="K254" s="1"/>
  <c r="H254" s="1"/>
  <c r="M258"/>
  <c r="N258" s="1"/>
  <c r="P258" s="1"/>
  <c r="O258" s="1"/>
  <c r="K258" s="1"/>
  <c r="H258" s="1"/>
  <c r="M332"/>
  <c r="N332" s="1"/>
  <c r="P332" s="1"/>
  <c r="O332" s="1"/>
  <c r="K332" s="1"/>
  <c r="H332" s="1"/>
  <c r="M334"/>
  <c r="N334" s="1"/>
  <c r="P334" s="1"/>
  <c r="O334" s="1"/>
  <c r="K334" s="1"/>
  <c r="H334" s="1"/>
  <c r="M336"/>
  <c r="N336" s="1"/>
  <c r="P336" s="1"/>
  <c r="O336" s="1"/>
  <c r="K336" s="1"/>
  <c r="H336" s="1"/>
  <c r="M338"/>
  <c r="N338" s="1"/>
  <c r="P338" s="1"/>
  <c r="O338" s="1"/>
  <c r="K338" s="1"/>
  <c r="H338" s="1"/>
  <c r="Q385"/>
  <c r="X411"/>
  <c r="M386"/>
  <c r="N386" s="1"/>
  <c r="P386" s="1"/>
  <c r="O386" s="1"/>
  <c r="K386" s="1"/>
  <c r="H386" s="1"/>
  <c r="Q389"/>
  <c r="X415"/>
  <c r="M390"/>
  <c r="N390" s="1"/>
  <c r="P390" s="1"/>
  <c r="O390" s="1"/>
  <c r="K390" s="1"/>
  <c r="H390" s="1"/>
  <c r="Q391"/>
  <c r="X417"/>
  <c r="M410"/>
  <c r="N410" s="1"/>
  <c r="P410" s="1"/>
  <c r="O410" s="1"/>
  <c r="K410" s="1"/>
  <c r="H410" s="1"/>
  <c r="M414"/>
  <c r="N414" s="1"/>
  <c r="P414" s="1"/>
  <c r="O414" s="1"/>
  <c r="K414" s="1"/>
  <c r="H414" s="1"/>
  <c r="M463"/>
  <c r="N463" s="1"/>
  <c r="P463" s="1"/>
  <c r="O463" s="1"/>
  <c r="K463" s="1"/>
  <c r="H463" s="1"/>
  <c r="M46"/>
  <c r="N46" s="1"/>
  <c r="P46" s="1"/>
  <c r="O46" s="1"/>
  <c r="K46" s="1"/>
  <c r="H46" s="1"/>
  <c r="M50"/>
  <c r="N50" s="1"/>
  <c r="P50" s="1"/>
  <c r="O50" s="1"/>
  <c r="K50" s="1"/>
  <c r="H50" s="1"/>
  <c r="M52"/>
  <c r="N52" s="1"/>
  <c r="P52" s="1"/>
  <c r="O52" s="1"/>
  <c r="K52" s="1"/>
  <c r="H52" s="1"/>
  <c r="Q72"/>
  <c r="X98"/>
  <c r="Q73"/>
  <c r="X99"/>
  <c r="Q74"/>
  <c r="X100"/>
  <c r="Q75"/>
  <c r="X101"/>
  <c r="Q76"/>
  <c r="X102"/>
  <c r="Q77"/>
  <c r="X103"/>
  <c r="Q78"/>
  <c r="X104"/>
  <c r="Q79"/>
  <c r="X105"/>
  <c r="Q124"/>
  <c r="Q125"/>
  <c r="Q126"/>
  <c r="Q127"/>
  <c r="Q128"/>
  <c r="Q129"/>
  <c r="Q130"/>
  <c r="Q131"/>
  <c r="M205"/>
  <c r="N205" s="1"/>
  <c r="P205" s="1"/>
  <c r="O205" s="1"/>
  <c r="K205" s="1"/>
  <c r="H205" s="1"/>
  <c r="M209"/>
  <c r="N209" s="1"/>
  <c r="P209" s="1"/>
  <c r="O209" s="1"/>
  <c r="K209" s="1"/>
  <c r="H209" s="1"/>
  <c r="Q229"/>
  <c r="Q231"/>
  <c r="Q233"/>
  <c r="Q235"/>
  <c r="M307"/>
  <c r="N307" s="1"/>
  <c r="P307" s="1"/>
  <c r="O307" s="1"/>
  <c r="K307" s="1"/>
  <c r="H307" s="1"/>
  <c r="M311"/>
  <c r="N311" s="1"/>
  <c r="P311" s="1"/>
  <c r="O311" s="1"/>
  <c r="K311" s="1"/>
  <c r="H311" s="1"/>
  <c r="X306"/>
  <c r="Q332"/>
  <c r="Q333"/>
  <c r="X307"/>
  <c r="X308"/>
  <c r="Q334"/>
  <c r="Q335"/>
  <c r="X309"/>
  <c r="X310"/>
  <c r="Q336"/>
  <c r="Q337"/>
  <c r="X311"/>
  <c r="X312"/>
  <c r="Q338"/>
  <c r="Q339"/>
  <c r="X313"/>
  <c r="M256"/>
  <c r="N256" s="1"/>
  <c r="P256" s="1"/>
  <c r="O256" s="1"/>
  <c r="K256" s="1"/>
  <c r="H256" s="1"/>
  <c r="M260"/>
  <c r="N260" s="1"/>
  <c r="P260" s="1"/>
  <c r="O260" s="1"/>
  <c r="K260" s="1"/>
  <c r="H260" s="1"/>
  <c r="M358"/>
  <c r="N358" s="1"/>
  <c r="P358" s="1"/>
  <c r="O358" s="1"/>
  <c r="K358" s="1"/>
  <c r="H358" s="1"/>
  <c r="M362"/>
  <c r="N362" s="1"/>
  <c r="P362" s="1"/>
  <c r="O362" s="1"/>
  <c r="K362" s="1"/>
  <c r="H362" s="1"/>
  <c r="S364"/>
  <c r="V364" s="1"/>
  <c r="Y364"/>
  <c r="Q384"/>
  <c r="X410"/>
  <c r="D360"/>
  <c r="Q386"/>
  <c r="X412"/>
  <c r="Q388"/>
  <c r="X414"/>
  <c r="D364"/>
  <c r="Q390"/>
  <c r="X416"/>
  <c r="M412"/>
  <c r="N412" s="1"/>
  <c r="P412" s="1"/>
  <c r="O412" s="1"/>
  <c r="K412" s="1"/>
  <c r="H412" s="1"/>
  <c r="M416"/>
  <c r="N416" s="1"/>
  <c r="P416" s="1"/>
  <c r="O416" s="1"/>
  <c r="K416" s="1"/>
  <c r="H416" s="1"/>
  <c r="M465"/>
  <c r="N465" s="1"/>
  <c r="P465" s="1"/>
  <c r="O465" s="1"/>
  <c r="K465" s="1"/>
  <c r="H465" s="1"/>
  <c r="M469"/>
  <c r="N469" s="1"/>
  <c r="P469" s="1"/>
  <c r="O469" s="1"/>
  <c r="K469" s="1"/>
  <c r="H469" s="1"/>
  <c r="M515"/>
  <c r="N515" s="1"/>
  <c r="P515" s="1"/>
  <c r="O515" s="1"/>
  <c r="K515" s="1"/>
  <c r="H515" s="1"/>
  <c r="M519"/>
  <c r="N519" s="1"/>
  <c r="P519" s="1"/>
  <c r="O519" s="1"/>
  <c r="K519"/>
  <c r="H519" s="1"/>
  <c r="Q541"/>
  <c r="D517"/>
  <c r="Q543"/>
  <c r="Q545"/>
  <c r="D521"/>
  <c r="Q547"/>
  <c r="M569"/>
  <c r="N569" s="1"/>
  <c r="P569" s="1"/>
  <c r="O569" s="1"/>
  <c r="K569" s="1"/>
  <c r="H569" s="1"/>
  <c r="K571"/>
  <c r="M571"/>
  <c r="N571" s="1"/>
  <c r="P571" s="1"/>
  <c r="O571" s="1"/>
  <c r="H571"/>
  <c r="M670"/>
  <c r="N670" s="1"/>
  <c r="P670" s="1"/>
  <c r="O670" s="1"/>
  <c r="K670" s="1"/>
  <c r="H670" s="1"/>
  <c r="K672"/>
  <c r="M672"/>
  <c r="N672" s="1"/>
  <c r="P672" s="1"/>
  <c r="O672" s="1"/>
  <c r="H672"/>
  <c r="M674"/>
  <c r="N674" s="1"/>
  <c r="P674" s="1"/>
  <c r="O674" s="1"/>
  <c r="K674" s="1"/>
  <c r="H674" s="1"/>
  <c r="Q696"/>
  <c r="X722"/>
  <c r="Q698"/>
  <c r="X724"/>
  <c r="Q700"/>
  <c r="X726"/>
  <c r="Q702"/>
  <c r="X728"/>
  <c r="K722"/>
  <c r="M722"/>
  <c r="N722" s="1"/>
  <c r="P722" s="1"/>
  <c r="O722" s="1"/>
  <c r="H722"/>
  <c r="M724"/>
  <c r="N724" s="1"/>
  <c r="P724" s="1"/>
  <c r="O724" s="1"/>
  <c r="K724" s="1"/>
  <c r="H724" s="1"/>
  <c r="K726"/>
  <c r="M726"/>
  <c r="N726" s="1"/>
  <c r="P726" s="1"/>
  <c r="O726" s="1"/>
  <c r="H726"/>
  <c r="M728"/>
  <c r="N728" s="1"/>
  <c r="P728" s="1"/>
  <c r="O728" s="1"/>
  <c r="K728" s="1"/>
  <c r="H728" s="1"/>
  <c r="M777"/>
  <c r="N777" s="1"/>
  <c r="P777" s="1"/>
  <c r="O777" s="1"/>
  <c r="K777" s="1"/>
  <c r="H777" s="1"/>
  <c r="S774"/>
  <c r="V774" s="1"/>
  <c r="Y774"/>
  <c r="Q800"/>
  <c r="X826"/>
  <c r="Q802"/>
  <c r="X828"/>
  <c r="Q804"/>
  <c r="X830"/>
  <c r="Q806"/>
  <c r="X832"/>
  <c r="M826"/>
  <c r="N826" s="1"/>
  <c r="P826" s="1"/>
  <c r="O826" s="1"/>
  <c r="K826" s="1"/>
  <c r="H826" s="1"/>
  <c r="M828"/>
  <c r="N828" s="1"/>
  <c r="P828" s="1"/>
  <c r="O828" s="1"/>
  <c r="K828" s="1"/>
  <c r="H828" s="1"/>
  <c r="M830"/>
  <c r="N830" s="1"/>
  <c r="P830" s="1"/>
  <c r="O830" s="1"/>
  <c r="K830" s="1"/>
  <c r="H830" s="1"/>
  <c r="M832"/>
  <c r="N832" s="1"/>
  <c r="P832" s="1"/>
  <c r="O832" s="1"/>
  <c r="K832" s="1"/>
  <c r="H832" s="1"/>
  <c r="L20" i="5"/>
  <c r="Q20"/>
  <c r="L22"/>
  <c r="Q22"/>
  <c r="M23"/>
  <c r="N23" s="1"/>
  <c r="P23" s="1"/>
  <c r="O23" s="1"/>
  <c r="K23" s="1"/>
  <c r="H23" s="1"/>
  <c r="M24"/>
  <c r="N24" s="1"/>
  <c r="P24" s="1"/>
  <c r="O24" s="1"/>
  <c r="K24" s="1"/>
  <c r="H24" s="1"/>
  <c r="M25"/>
  <c r="N25" s="1"/>
  <c r="P25" s="1"/>
  <c r="O25" s="1"/>
  <c r="K25" s="1"/>
  <c r="H25" s="1"/>
  <c r="M26"/>
  <c r="N26" s="1"/>
  <c r="P26" s="1"/>
  <c r="O26" s="1"/>
  <c r="K26" s="1"/>
  <c r="H26" s="1"/>
  <c r="M27"/>
  <c r="N27" s="1"/>
  <c r="P27" s="1"/>
  <c r="O27" s="1"/>
  <c r="K27" s="1"/>
  <c r="H27" s="1"/>
  <c r="M28"/>
  <c r="N28" s="1"/>
  <c r="P28" s="1"/>
  <c r="O28" s="1"/>
  <c r="K28" s="1"/>
  <c r="H28" s="1"/>
  <c r="M29"/>
  <c r="N29" s="1"/>
  <c r="P29" s="1"/>
  <c r="O29" s="1"/>
  <c r="K29" s="1"/>
  <c r="H29" s="1"/>
  <c r="M30"/>
  <c r="N30" s="1"/>
  <c r="P30" s="1"/>
  <c r="O30" s="1"/>
  <c r="K30" s="1"/>
  <c r="H30" s="1"/>
  <c r="M31"/>
  <c r="N31" s="1"/>
  <c r="P31" s="1"/>
  <c r="O31" s="1"/>
  <c r="K31" s="1"/>
  <c r="H31" s="1"/>
  <c r="M32"/>
  <c r="N32" s="1"/>
  <c r="P32" s="1"/>
  <c r="O32" s="1"/>
  <c r="K32" s="1"/>
  <c r="H32" s="1"/>
  <c r="M33"/>
  <c r="N33" s="1"/>
  <c r="P33" s="1"/>
  <c r="O33" s="1"/>
  <c r="K33" s="1"/>
  <c r="H33" s="1"/>
  <c r="M34"/>
  <c r="N34" s="1"/>
  <c r="P34" s="1"/>
  <c r="O34" s="1"/>
  <c r="K34" s="1"/>
  <c r="H34" s="1"/>
  <c r="M35"/>
  <c r="N35" s="1"/>
  <c r="P35" s="1"/>
  <c r="O35" s="1"/>
  <c r="K35" s="1"/>
  <c r="H35" s="1"/>
  <c r="L57"/>
  <c r="Q57"/>
  <c r="L60"/>
  <c r="Q60"/>
  <c r="L61"/>
  <c r="Q61"/>
  <c r="L62"/>
  <c r="Q62"/>
  <c r="L63"/>
  <c r="Q63"/>
  <c r="L64"/>
  <c r="Q64"/>
  <c r="L65"/>
  <c r="Q65"/>
  <c r="L66"/>
  <c r="Q66"/>
  <c r="L67"/>
  <c r="Q67"/>
  <c r="L68"/>
  <c r="Q68"/>
  <c r="L69"/>
  <c r="Q69"/>
  <c r="L70"/>
  <c r="Q70"/>
  <c r="L71"/>
  <c r="Q71"/>
  <c r="L92"/>
  <c r="Q92"/>
  <c r="L94"/>
  <c r="Q94"/>
  <c r="M95"/>
  <c r="N95" s="1"/>
  <c r="P95" s="1"/>
  <c r="O95" s="1"/>
  <c r="K95" s="1"/>
  <c r="H95" s="1"/>
  <c r="M96"/>
  <c r="N96" s="1"/>
  <c r="P96" s="1"/>
  <c r="O96" s="1"/>
  <c r="K96" s="1"/>
  <c r="H96" s="1"/>
  <c r="M97"/>
  <c r="N97" s="1"/>
  <c r="P97" s="1"/>
  <c r="O97" s="1"/>
  <c r="K97" s="1"/>
  <c r="H97" s="1"/>
  <c r="M98"/>
  <c r="N98" s="1"/>
  <c r="P98" s="1"/>
  <c r="O98" s="1"/>
  <c r="K98" s="1"/>
  <c r="H98" s="1"/>
  <c r="M99"/>
  <c r="N99" s="1"/>
  <c r="P99" s="1"/>
  <c r="O99" s="1"/>
  <c r="K99" s="1"/>
  <c r="H99" s="1"/>
  <c r="M100"/>
  <c r="N100" s="1"/>
  <c r="P100" s="1"/>
  <c r="O100" s="1"/>
  <c r="K100" s="1"/>
  <c r="H100" s="1"/>
  <c r="M101"/>
  <c r="N101" s="1"/>
  <c r="P101" s="1"/>
  <c r="O101" s="1"/>
  <c r="K101" s="1"/>
  <c r="H101" s="1"/>
  <c r="M102"/>
  <c r="N102" s="1"/>
  <c r="P102" s="1"/>
  <c r="O102" s="1"/>
  <c r="K102" s="1"/>
  <c r="H102" s="1"/>
  <c r="M103"/>
  <c r="N103" s="1"/>
  <c r="P103" s="1"/>
  <c r="O103" s="1"/>
  <c r="K103" s="1"/>
  <c r="H103" s="1"/>
  <c r="M104"/>
  <c r="N104" s="1"/>
  <c r="P104" s="1"/>
  <c r="O104" s="1"/>
  <c r="K104" s="1"/>
  <c r="H104" s="1"/>
  <c r="M105"/>
  <c r="N105" s="1"/>
  <c r="P105" s="1"/>
  <c r="O105" s="1"/>
  <c r="K105" s="1"/>
  <c r="H105" s="1"/>
  <c r="M106"/>
  <c r="N106" s="1"/>
  <c r="P106" s="1"/>
  <c r="O106" s="1"/>
  <c r="K106" s="1"/>
  <c r="H106" s="1"/>
  <c r="M107"/>
  <c r="N107" s="1"/>
  <c r="P107" s="1"/>
  <c r="O107" s="1"/>
  <c r="K107" s="1"/>
  <c r="H107" s="1"/>
  <c r="L129"/>
  <c r="Q129"/>
  <c r="M165"/>
  <c r="N165" s="1"/>
  <c r="P165" s="1"/>
  <c r="O165" s="1"/>
  <c r="K165" s="1"/>
  <c r="H165" s="1"/>
  <c r="M200"/>
  <c r="N200" s="1"/>
  <c r="P200" s="1"/>
  <c r="O200" s="1"/>
  <c r="K200" s="1"/>
  <c r="H200" s="1"/>
  <c r="M202"/>
  <c r="N202" s="1"/>
  <c r="P202" s="1"/>
  <c r="O202" s="1"/>
  <c r="K202" s="1"/>
  <c r="H202" s="1"/>
  <c r="L203"/>
  <c r="Q203"/>
  <c r="L204"/>
  <c r="Q204"/>
  <c r="L205"/>
  <c r="Q205"/>
  <c r="L206"/>
  <c r="Q206"/>
  <c r="L207"/>
  <c r="Q207"/>
  <c r="L208"/>
  <c r="Q208"/>
  <c r="L209"/>
  <c r="Q209"/>
  <c r="L210"/>
  <c r="Q210"/>
  <c r="L211"/>
  <c r="Q211"/>
  <c r="L212"/>
  <c r="Q212"/>
  <c r="L213"/>
  <c r="Q213"/>
  <c r="L214"/>
  <c r="Q214"/>
  <c r="L215"/>
  <c r="Q215"/>
  <c r="L236"/>
  <c r="Q236"/>
  <c r="L238"/>
  <c r="Q238"/>
  <c r="M239"/>
  <c r="N239" s="1"/>
  <c r="P239" s="1"/>
  <c r="O239" s="1"/>
  <c r="K239" s="1"/>
  <c r="H239" s="1"/>
  <c r="M240"/>
  <c r="N240" s="1"/>
  <c r="P240" s="1"/>
  <c r="O240" s="1"/>
  <c r="K240" s="1"/>
  <c r="H240" s="1"/>
  <c r="M241"/>
  <c r="N241" s="1"/>
  <c r="P241" s="1"/>
  <c r="O241" s="1"/>
  <c r="K241" s="1"/>
  <c r="H241" s="1"/>
  <c r="M242"/>
  <c r="N242" s="1"/>
  <c r="P242" s="1"/>
  <c r="O242" s="1"/>
  <c r="K242" s="1"/>
  <c r="H242" s="1"/>
  <c r="M243"/>
  <c r="N243" s="1"/>
  <c r="P243" s="1"/>
  <c r="O243" s="1"/>
  <c r="K243" s="1"/>
  <c r="H243" s="1"/>
  <c r="M244"/>
  <c r="N244" s="1"/>
  <c r="P244" s="1"/>
  <c r="O244" s="1"/>
  <c r="K244" s="1"/>
  <c r="H244" s="1"/>
  <c r="M245"/>
  <c r="N245" s="1"/>
  <c r="P245" s="1"/>
  <c r="O245" s="1"/>
  <c r="K245" s="1"/>
  <c r="H245" s="1"/>
  <c r="M246"/>
  <c r="N246" s="1"/>
  <c r="P246" s="1"/>
  <c r="O246" s="1"/>
  <c r="K246" s="1"/>
  <c r="H246" s="1"/>
  <c r="M247"/>
  <c r="N247" s="1"/>
  <c r="P247" s="1"/>
  <c r="O247" s="1"/>
  <c r="K247" s="1"/>
  <c r="H247" s="1"/>
  <c r="M248"/>
  <c r="N248" s="1"/>
  <c r="P248" s="1"/>
  <c r="O248" s="1"/>
  <c r="K248" s="1"/>
  <c r="H248" s="1"/>
  <c r="M249"/>
  <c r="N249" s="1"/>
  <c r="P249" s="1"/>
  <c r="O249" s="1"/>
  <c r="K249" s="1"/>
  <c r="H249" s="1"/>
  <c r="M250"/>
  <c r="N250" s="1"/>
  <c r="P250" s="1"/>
  <c r="O250" s="1"/>
  <c r="K250" s="1"/>
  <c r="H250" s="1"/>
  <c r="M251"/>
  <c r="N251" s="1"/>
  <c r="P251" s="1"/>
  <c r="O251" s="1"/>
  <c r="K251" s="1"/>
  <c r="H251" s="1"/>
  <c r="T278"/>
  <c r="Y290"/>
  <c r="V290" s="1"/>
  <c r="M308"/>
  <c r="N308" s="1"/>
  <c r="P308" s="1"/>
  <c r="O308" s="1"/>
  <c r="K308" s="1"/>
  <c r="H308" s="1"/>
  <c r="T422"/>
  <c r="Y434"/>
  <c r="V434" s="1"/>
  <c r="M435"/>
  <c r="N435" s="1"/>
  <c r="P435" s="1"/>
  <c r="O435" s="1"/>
  <c r="K435" s="1"/>
  <c r="H435" s="1"/>
  <c r="M436"/>
  <c r="N436" s="1"/>
  <c r="P436" s="1"/>
  <c r="O436" s="1"/>
  <c r="K436" s="1"/>
  <c r="H436" s="1"/>
  <c r="M437"/>
  <c r="N437" s="1"/>
  <c r="P437" s="1"/>
  <c r="O437" s="1"/>
  <c r="K437" s="1"/>
  <c r="H437" s="1"/>
  <c r="M438"/>
  <c r="N438" s="1"/>
  <c r="P438" s="1"/>
  <c r="O438" s="1"/>
  <c r="K438" s="1"/>
  <c r="H438" s="1"/>
  <c r="M439"/>
  <c r="N439" s="1"/>
  <c r="P439" s="1"/>
  <c r="O439" s="1"/>
  <c r="K439" s="1"/>
  <c r="H439" s="1"/>
  <c r="M440"/>
  <c r="N440" s="1"/>
  <c r="P440" s="1"/>
  <c r="O440" s="1"/>
  <c r="K440" s="1"/>
  <c r="H440" s="1"/>
  <c r="M441"/>
  <c r="N441" s="1"/>
  <c r="P441" s="1"/>
  <c r="O441" s="1"/>
  <c r="K441" s="1"/>
  <c r="H441" s="1"/>
  <c r="M442"/>
  <c r="N442" s="1"/>
  <c r="P442" s="1"/>
  <c r="O442" s="1"/>
  <c r="K442" s="1"/>
  <c r="H442" s="1"/>
  <c r="M443"/>
  <c r="N443" s="1"/>
  <c r="P443" s="1"/>
  <c r="O443" s="1"/>
  <c r="K443" s="1"/>
  <c r="H443" s="1"/>
  <c r="M444"/>
  <c r="N444" s="1"/>
  <c r="P444" s="1"/>
  <c r="O444" s="1"/>
  <c r="K444" s="1"/>
  <c r="H444" s="1"/>
  <c r="K445"/>
  <c r="H445" s="1"/>
  <c r="M445"/>
  <c r="N445" s="1"/>
  <c r="P445" s="1"/>
  <c r="O445" s="1"/>
  <c r="M446"/>
  <c r="N446" s="1"/>
  <c r="P446" s="1"/>
  <c r="O446" s="1"/>
  <c r="K446" s="1"/>
  <c r="H446" s="1"/>
  <c r="M447"/>
  <c r="N447" s="1"/>
  <c r="P447" s="1"/>
  <c r="O447" s="1"/>
  <c r="K447" s="1"/>
  <c r="H447" s="1"/>
  <c r="M448"/>
  <c r="N448" s="1"/>
  <c r="P448" s="1"/>
  <c r="O448" s="1"/>
  <c r="K448" s="1"/>
  <c r="H448" s="1"/>
  <c r="M449"/>
  <c r="N449" s="1"/>
  <c r="P449" s="1"/>
  <c r="O449" s="1"/>
  <c r="K449" s="1"/>
  <c r="H449" s="1"/>
  <c r="M461"/>
  <c r="N461" s="1"/>
  <c r="P461" s="1"/>
  <c r="O461" s="1"/>
  <c r="K461" s="1"/>
  <c r="H461" s="1"/>
  <c r="M462"/>
  <c r="N462" s="1"/>
  <c r="P462" s="1"/>
  <c r="O462" s="1"/>
  <c r="K462" s="1"/>
  <c r="H462" s="1"/>
  <c r="M463"/>
  <c r="N463" s="1"/>
  <c r="P463" s="1"/>
  <c r="O463" s="1"/>
  <c r="K463" s="1"/>
  <c r="H463" s="1"/>
  <c r="M464"/>
  <c r="N464" s="1"/>
  <c r="P464" s="1"/>
  <c r="O464" s="1"/>
  <c r="K464" s="1"/>
  <c r="H464" s="1"/>
  <c r="M465"/>
  <c r="N465" s="1"/>
  <c r="P465" s="1"/>
  <c r="O465" s="1"/>
  <c r="K465" s="1"/>
  <c r="H465" s="1"/>
  <c r="M466"/>
  <c r="N466" s="1"/>
  <c r="P466" s="1"/>
  <c r="O466" s="1"/>
  <c r="K466" s="1"/>
  <c r="H466" s="1"/>
  <c r="M467"/>
  <c r="N467" s="1"/>
  <c r="P467" s="1"/>
  <c r="O467" s="1"/>
  <c r="K467" s="1"/>
  <c r="H467" s="1"/>
  <c r="Q489"/>
  <c r="L489"/>
  <c r="M525"/>
  <c r="N525" s="1"/>
  <c r="P525" s="1"/>
  <c r="O525" s="1"/>
  <c r="K525" s="1"/>
  <c r="H525" s="1"/>
  <c r="M560"/>
  <c r="N560" s="1"/>
  <c r="P560" s="1"/>
  <c r="O560" s="1"/>
  <c r="K560" s="1"/>
  <c r="H560" s="1"/>
  <c r="M562"/>
  <c r="N562" s="1"/>
  <c r="P562" s="1"/>
  <c r="O562" s="1"/>
  <c r="K562" s="1"/>
  <c r="H562" s="1"/>
  <c r="Q563"/>
  <c r="L563"/>
  <c r="Q564"/>
  <c r="L564"/>
  <c r="Q565"/>
  <c r="L565"/>
  <c r="Q566"/>
  <c r="L566"/>
  <c r="Q567"/>
  <c r="L567"/>
  <c r="Q568"/>
  <c r="L568"/>
  <c r="Q569"/>
  <c r="L569"/>
  <c r="Q570"/>
  <c r="L570"/>
  <c r="Q571"/>
  <c r="L571"/>
  <c r="Q572"/>
  <c r="L572"/>
  <c r="Q573"/>
  <c r="L573"/>
  <c r="Q574"/>
  <c r="L574"/>
  <c r="Q575"/>
  <c r="L575"/>
  <c r="K85" i="2"/>
  <c r="A88"/>
  <c r="K81"/>
  <c r="A83"/>
  <c r="K77"/>
  <c r="A78"/>
  <c r="A73"/>
  <c r="K73"/>
  <c r="A76"/>
  <c r="K76"/>
  <c r="M381" i="5"/>
  <c r="N381" s="1"/>
  <c r="P381" s="1"/>
  <c r="O381" s="1"/>
  <c r="K381" s="1"/>
  <c r="H381" s="1"/>
  <c r="M383"/>
  <c r="N383" s="1"/>
  <c r="P383" s="1"/>
  <c r="O383" s="1"/>
  <c r="K383" s="1"/>
  <c r="H383" s="1"/>
  <c r="M384"/>
  <c r="N384" s="1"/>
  <c r="P384" s="1"/>
  <c r="O384" s="1"/>
  <c r="K384" s="1"/>
  <c r="H384" s="1"/>
  <c r="M385"/>
  <c r="N385" s="1"/>
  <c r="P385" s="1"/>
  <c r="O385" s="1"/>
  <c r="K385" s="1"/>
  <c r="H385" s="1"/>
  <c r="M386"/>
  <c r="N386" s="1"/>
  <c r="P386" s="1"/>
  <c r="O386" s="1"/>
  <c r="K386" s="1"/>
  <c r="H386" s="1"/>
  <c r="M387"/>
  <c r="N387" s="1"/>
  <c r="P387" s="1"/>
  <c r="O387" s="1"/>
  <c r="K387" s="1"/>
  <c r="H387" s="1"/>
  <c r="M390"/>
  <c r="N390" s="1"/>
  <c r="P390" s="1"/>
  <c r="O390" s="1"/>
  <c r="K390" s="1"/>
  <c r="H390" s="1"/>
  <c r="M392"/>
  <c r="N392" s="1"/>
  <c r="P392" s="1"/>
  <c r="O392" s="1"/>
  <c r="K392" s="1"/>
  <c r="H392" s="1"/>
  <c r="M394"/>
  <c r="N394" s="1"/>
  <c r="P394" s="1"/>
  <c r="O394" s="1"/>
  <c r="K394" s="1"/>
  <c r="H394" s="1"/>
  <c r="M416"/>
  <c r="N416" s="1"/>
  <c r="P416" s="1"/>
  <c r="O416" s="1"/>
  <c r="K416" s="1"/>
  <c r="H416" s="1"/>
  <c r="M418"/>
  <c r="N418" s="1"/>
  <c r="P418" s="1"/>
  <c r="O418" s="1"/>
  <c r="K418" s="1"/>
  <c r="H418" s="1"/>
  <c r="Q420"/>
  <c r="L420"/>
  <c r="Q422"/>
  <c r="L422"/>
  <c r="Q425"/>
  <c r="L425"/>
  <c r="Q426"/>
  <c r="L426"/>
  <c r="Q427"/>
  <c r="L427"/>
  <c r="Q428"/>
  <c r="L428"/>
  <c r="Q429"/>
  <c r="L429"/>
  <c r="Q430"/>
  <c r="L430"/>
  <c r="Q431"/>
  <c r="L431"/>
  <c r="B93" i="2"/>
  <c r="B111"/>
  <c r="M309" i="5"/>
  <c r="N309" s="1"/>
  <c r="P309" s="1"/>
  <c r="O309" s="1"/>
  <c r="K309" s="1"/>
  <c r="H309" s="1"/>
  <c r="M311"/>
  <c r="N311" s="1"/>
  <c r="P311" s="1"/>
  <c r="O311" s="1"/>
  <c r="K311" s="1"/>
  <c r="H311" s="1"/>
  <c r="M312"/>
  <c r="N312" s="1"/>
  <c r="P312" s="1"/>
  <c r="O312" s="1"/>
  <c r="K312" s="1"/>
  <c r="H312" s="1"/>
  <c r="M313"/>
  <c r="N313" s="1"/>
  <c r="P313" s="1"/>
  <c r="O313" s="1"/>
  <c r="K313" s="1"/>
  <c r="H313" s="1"/>
  <c r="M314"/>
  <c r="N314" s="1"/>
  <c r="P314" s="1"/>
  <c r="O314" s="1"/>
  <c r="K314" s="1"/>
  <c r="H314" s="1"/>
  <c r="M315"/>
  <c r="N315" s="1"/>
  <c r="P315" s="1"/>
  <c r="O315" s="1"/>
  <c r="K315" s="1"/>
  <c r="H315" s="1"/>
  <c r="M318"/>
  <c r="N318" s="1"/>
  <c r="P318" s="1"/>
  <c r="O318" s="1"/>
  <c r="K318" s="1"/>
  <c r="H318" s="1"/>
  <c r="M320"/>
  <c r="N320" s="1"/>
  <c r="P320" s="1"/>
  <c r="O320" s="1"/>
  <c r="K320" s="1"/>
  <c r="H320" s="1"/>
  <c r="M322"/>
  <c r="N322" s="1"/>
  <c r="P322" s="1"/>
  <c r="O322" s="1"/>
  <c r="K322" s="1"/>
  <c r="H322" s="1"/>
  <c r="M344"/>
  <c r="N344" s="1"/>
  <c r="P344" s="1"/>
  <c r="O344" s="1"/>
  <c r="K344" s="1"/>
  <c r="H344" s="1"/>
  <c r="M346"/>
  <c r="N346" s="1"/>
  <c r="P346" s="1"/>
  <c r="O346" s="1"/>
  <c r="K346" s="1"/>
  <c r="H346" s="1"/>
  <c r="Q348"/>
  <c r="L348"/>
  <c r="Q350"/>
  <c r="L350"/>
  <c r="Q353"/>
  <c r="L353"/>
  <c r="Q354"/>
  <c r="L354"/>
  <c r="Q355"/>
  <c r="L355"/>
  <c r="Q356"/>
  <c r="L356"/>
  <c r="Q357"/>
  <c r="L357"/>
  <c r="Q358"/>
  <c r="L358"/>
  <c r="Q359"/>
  <c r="L359"/>
  <c r="Q382"/>
  <c r="L382"/>
  <c r="M388"/>
  <c r="N388" s="1"/>
  <c r="P388" s="1"/>
  <c r="O388" s="1"/>
  <c r="K388" s="1"/>
  <c r="H388" s="1"/>
  <c r="M389"/>
  <c r="N389" s="1"/>
  <c r="P389" s="1"/>
  <c r="O389" s="1"/>
  <c r="K389" s="1"/>
  <c r="H389" s="1"/>
  <c r="M391"/>
  <c r="N391" s="1"/>
  <c r="P391" s="1"/>
  <c r="O391" s="1"/>
  <c r="K391" s="1"/>
  <c r="H391" s="1"/>
  <c r="M393"/>
  <c r="N393" s="1"/>
  <c r="P393" s="1"/>
  <c r="O393" s="1"/>
  <c r="K393" s="1"/>
  <c r="H393" s="1"/>
  <c r="M395"/>
  <c r="N395" s="1"/>
  <c r="P395" s="1"/>
  <c r="O395" s="1"/>
  <c r="K395" s="1"/>
  <c r="H395" s="1"/>
  <c r="Q417"/>
  <c r="L417"/>
  <c r="Q419"/>
  <c r="L419"/>
  <c r="Q421"/>
  <c r="L421"/>
  <c r="Q423"/>
  <c r="L423"/>
  <c r="Q424"/>
  <c r="L424"/>
  <c r="Q452"/>
  <c r="M453"/>
  <c r="N453" s="1"/>
  <c r="P453" s="1"/>
  <c r="O453" s="1"/>
  <c r="K453" s="1"/>
  <c r="H453" s="1"/>
  <c r="M455"/>
  <c r="N455" s="1"/>
  <c r="P455" s="1"/>
  <c r="O455" s="1"/>
  <c r="K455" s="1"/>
  <c r="H455" s="1"/>
  <c r="M456"/>
  <c r="N456" s="1"/>
  <c r="P456" s="1"/>
  <c r="O456" s="1"/>
  <c r="K456" s="1"/>
  <c r="H456" s="1"/>
  <c r="M457"/>
  <c r="N457" s="1"/>
  <c r="P457" s="1"/>
  <c r="O457" s="1"/>
  <c r="K457" s="1"/>
  <c r="H457" s="1"/>
  <c r="M458"/>
  <c r="N458" s="1"/>
  <c r="P458" s="1"/>
  <c r="O458" s="1"/>
  <c r="K458" s="1"/>
  <c r="H458" s="1"/>
  <c r="M459"/>
  <c r="N459" s="1"/>
  <c r="P459" s="1"/>
  <c r="O459" s="1"/>
  <c r="K459" s="1"/>
  <c r="H459" s="1"/>
  <c r="T421"/>
  <c r="T494"/>
  <c r="Y506"/>
  <c r="V506" s="1"/>
  <c r="X49" i="6"/>
  <c r="X53"/>
  <c r="T82"/>
  <c r="D46"/>
  <c r="D50"/>
  <c r="D49"/>
  <c r="X52"/>
  <c r="D47"/>
  <c r="X50"/>
  <c r="D204"/>
  <c r="D208"/>
  <c r="X156"/>
  <c r="L228"/>
  <c r="L230"/>
  <c r="D205"/>
  <c r="D313"/>
  <c r="D363"/>
  <c r="X255"/>
  <c r="X259"/>
  <c r="X361"/>
  <c r="L385"/>
  <c r="L389"/>
  <c r="L391"/>
  <c r="T394"/>
  <c r="X464"/>
  <c r="X468"/>
  <c r="D362"/>
  <c r="X365"/>
  <c r="L644"/>
  <c r="L646"/>
  <c r="L647"/>
  <c r="L649"/>
  <c r="L697"/>
  <c r="L701"/>
  <c r="L703"/>
  <c r="T706"/>
  <c r="D672"/>
  <c r="D677"/>
  <c r="D519"/>
  <c r="D670"/>
  <c r="X775"/>
  <c r="X779"/>
  <c r="L807"/>
  <c r="T37" i="5"/>
  <c r="D781" i="6"/>
  <c r="Y147" i="5"/>
  <c r="V147" s="1"/>
  <c r="Y155"/>
  <c r="V155" s="1"/>
  <c r="Y294"/>
  <c r="V294" s="1"/>
  <c r="U98"/>
  <c r="Y363"/>
  <c r="V363" s="1"/>
  <c r="Y365"/>
  <c r="V365" s="1"/>
  <c r="Y367"/>
  <c r="V367" s="1"/>
  <c r="Y369"/>
  <c r="V369" s="1"/>
  <c r="Y371"/>
  <c r="V371" s="1"/>
  <c r="Y373"/>
  <c r="V373" s="1"/>
  <c r="Y375"/>
  <c r="V375" s="1"/>
  <c r="Y377"/>
  <c r="V377" s="1"/>
  <c r="Y507"/>
  <c r="V507" s="1"/>
  <c r="Y509"/>
  <c r="V509" s="1"/>
  <c r="Y511"/>
  <c r="V511" s="1"/>
  <c r="T379"/>
  <c r="T523"/>
  <c r="T559"/>
  <c r="S266"/>
  <c r="S400"/>
  <c r="S404"/>
  <c r="S408"/>
  <c r="S412"/>
  <c r="Y508"/>
  <c r="V508" s="1"/>
  <c r="Y510"/>
  <c r="V510" s="1"/>
  <c r="S546"/>
  <c r="S550"/>
  <c r="S554"/>
  <c r="Y579"/>
  <c r="V579" s="1"/>
  <c r="Y581"/>
  <c r="V581" s="1"/>
  <c r="Y583"/>
  <c r="V583" s="1"/>
  <c r="Y585"/>
  <c r="V585" s="1"/>
  <c r="Y587"/>
  <c r="V587" s="1"/>
  <c r="Y589"/>
  <c r="V589" s="1"/>
  <c r="Y591"/>
  <c r="V591" s="1"/>
  <c r="Y593"/>
  <c r="V593" s="1"/>
  <c r="T127"/>
  <c r="T163"/>
  <c r="T199"/>
  <c r="T235"/>
  <c r="T271"/>
  <c r="T361"/>
  <c r="M48" i="6"/>
  <c r="N48" s="1"/>
  <c r="P48" s="1"/>
  <c r="O48" s="1"/>
  <c r="K48" s="1"/>
  <c r="H48" s="1"/>
  <c r="M73"/>
  <c r="N73" s="1"/>
  <c r="P73" s="1"/>
  <c r="O73" s="1"/>
  <c r="K73" s="1"/>
  <c r="H73" s="1"/>
  <c r="M75"/>
  <c r="N75" s="1"/>
  <c r="P75" s="1"/>
  <c r="O75" s="1"/>
  <c r="K75" s="1"/>
  <c r="H75" s="1"/>
  <c r="M77"/>
  <c r="N77" s="1"/>
  <c r="P77" s="1"/>
  <c r="O77" s="1"/>
  <c r="K77" s="1"/>
  <c r="H77" s="1"/>
  <c r="M79"/>
  <c r="N79" s="1"/>
  <c r="P79" s="1"/>
  <c r="O79" s="1"/>
  <c r="K79" s="1"/>
  <c r="H79" s="1"/>
  <c r="M99"/>
  <c r="N99" s="1"/>
  <c r="P99" s="1"/>
  <c r="O99" s="1"/>
  <c r="K99" s="1"/>
  <c r="H99" s="1"/>
  <c r="M101"/>
  <c r="N101" s="1"/>
  <c r="P101" s="1"/>
  <c r="O101" s="1"/>
  <c r="K101" s="1"/>
  <c r="H101" s="1"/>
  <c r="M124"/>
  <c r="N124" s="1"/>
  <c r="P124" s="1"/>
  <c r="O124" s="1"/>
  <c r="K124" s="1"/>
  <c r="H124" s="1"/>
  <c r="K126"/>
  <c r="H126" s="1"/>
  <c r="M126"/>
  <c r="N126" s="1"/>
  <c r="P126" s="1"/>
  <c r="O126" s="1"/>
  <c r="M128"/>
  <c r="N128" s="1"/>
  <c r="P128" s="1"/>
  <c r="O128" s="1"/>
  <c r="K128" s="1"/>
  <c r="H128" s="1"/>
  <c r="M130"/>
  <c r="N130" s="1"/>
  <c r="P130" s="1"/>
  <c r="O130" s="1"/>
  <c r="K130" s="1"/>
  <c r="H130" s="1"/>
  <c r="X202"/>
  <c r="Q228"/>
  <c r="M231"/>
  <c r="N231" s="1"/>
  <c r="P231" s="1"/>
  <c r="O231" s="1"/>
  <c r="K231" s="1"/>
  <c r="H231" s="1"/>
  <c r="X206"/>
  <c r="Q232"/>
  <c r="M233"/>
  <c r="N233" s="1"/>
  <c r="P233" s="1"/>
  <c r="O233" s="1"/>
  <c r="K233" s="1"/>
  <c r="H233" s="1"/>
  <c r="X208"/>
  <c r="Q234"/>
  <c r="S255"/>
  <c r="V255" s="1"/>
  <c r="Y255"/>
  <c r="M309"/>
  <c r="N309" s="1"/>
  <c r="P309" s="1"/>
  <c r="O309" s="1"/>
  <c r="K309" s="1"/>
  <c r="H309" s="1"/>
  <c r="M313"/>
  <c r="N313" s="1"/>
  <c r="P313" s="1"/>
  <c r="O313" s="1"/>
  <c r="K313" s="1"/>
  <c r="H313" s="1"/>
  <c r="M333"/>
  <c r="N333" s="1"/>
  <c r="P333" s="1"/>
  <c r="O333" s="1"/>
  <c r="K333" s="1"/>
  <c r="H333" s="1"/>
  <c r="M335"/>
  <c r="N335" s="1"/>
  <c r="P335" s="1"/>
  <c r="O335" s="1"/>
  <c r="K335" s="1"/>
  <c r="H335" s="1"/>
  <c r="K337"/>
  <c r="H337" s="1"/>
  <c r="M337"/>
  <c r="N337" s="1"/>
  <c r="P337" s="1"/>
  <c r="O337" s="1"/>
  <c r="M339"/>
  <c r="N339" s="1"/>
  <c r="P339" s="1"/>
  <c r="O339" s="1"/>
  <c r="K339" s="1"/>
  <c r="H339" s="1"/>
  <c r="M384"/>
  <c r="N384" s="1"/>
  <c r="P384" s="1"/>
  <c r="O384" s="1"/>
  <c r="K384" s="1"/>
  <c r="H384" s="1"/>
  <c r="Q387"/>
  <c r="X413"/>
  <c r="M388"/>
  <c r="N388" s="1"/>
  <c r="P388" s="1"/>
  <c r="O388" s="1"/>
  <c r="K388" s="1"/>
  <c r="H388" s="1"/>
  <c r="M467"/>
  <c r="N467" s="1"/>
  <c r="P467" s="1"/>
  <c r="O467" s="1"/>
  <c r="K467" s="1"/>
  <c r="H467" s="1"/>
  <c r="K360"/>
  <c r="H360" s="1"/>
  <c r="M360"/>
  <c r="N360" s="1"/>
  <c r="P360" s="1"/>
  <c r="O360" s="1"/>
  <c r="X514"/>
  <c r="Q540"/>
  <c r="K541"/>
  <c r="H541" s="1"/>
  <c r="M541"/>
  <c r="N541" s="1"/>
  <c r="P541" s="1"/>
  <c r="O541" s="1"/>
  <c r="X516"/>
  <c r="Q542"/>
  <c r="K543"/>
  <c r="H543" s="1"/>
  <c r="M543"/>
  <c r="N543" s="1"/>
  <c r="P543" s="1"/>
  <c r="O543" s="1"/>
  <c r="X518"/>
  <c r="Q544"/>
  <c r="M545"/>
  <c r="N545" s="1"/>
  <c r="P545" s="1"/>
  <c r="O545" s="1"/>
  <c r="K545" s="1"/>
  <c r="H545" s="1"/>
  <c r="X520"/>
  <c r="Q546"/>
  <c r="M547"/>
  <c r="N547" s="1"/>
  <c r="P547" s="1"/>
  <c r="O547" s="1"/>
  <c r="K547" s="1"/>
  <c r="H547" s="1"/>
  <c r="M567"/>
  <c r="N567" s="1"/>
  <c r="P567" s="1"/>
  <c r="O567" s="1"/>
  <c r="K567" s="1"/>
  <c r="H567" s="1"/>
  <c r="M573"/>
  <c r="N573" s="1"/>
  <c r="P573" s="1"/>
  <c r="O573" s="1"/>
  <c r="K573" s="1"/>
  <c r="H573" s="1"/>
  <c r="M619"/>
  <c r="N619" s="1"/>
  <c r="P619" s="1"/>
  <c r="O619" s="1"/>
  <c r="K619" s="1"/>
  <c r="H619" s="1"/>
  <c r="M621"/>
  <c r="N621" s="1"/>
  <c r="P621" s="1"/>
  <c r="O621" s="1"/>
  <c r="K621" s="1"/>
  <c r="H621" s="1"/>
  <c r="M623"/>
  <c r="N623" s="1"/>
  <c r="P623" s="1"/>
  <c r="O623" s="1"/>
  <c r="K623" s="1"/>
  <c r="H623" s="1"/>
  <c r="M625"/>
  <c r="N625" s="1"/>
  <c r="P625" s="1"/>
  <c r="O625" s="1"/>
  <c r="K625" s="1"/>
  <c r="H625" s="1"/>
  <c r="X618"/>
  <c r="Q644"/>
  <c r="Q645"/>
  <c r="X619"/>
  <c r="X620"/>
  <c r="Q646"/>
  <c r="Q647"/>
  <c r="X621"/>
  <c r="X622"/>
  <c r="Q648"/>
  <c r="Q649"/>
  <c r="X623"/>
  <c r="X624"/>
  <c r="Q650"/>
  <c r="Q651"/>
  <c r="X625"/>
  <c r="M676"/>
  <c r="N676" s="1"/>
  <c r="P676" s="1"/>
  <c r="O676" s="1"/>
  <c r="K676" s="1"/>
  <c r="H676" s="1"/>
  <c r="M696"/>
  <c r="N696" s="1"/>
  <c r="P696" s="1"/>
  <c r="O696" s="1"/>
  <c r="K696" s="1"/>
  <c r="H696" s="1"/>
  <c r="Q697"/>
  <c r="X723"/>
  <c r="M698"/>
  <c r="N698" s="1"/>
  <c r="P698" s="1"/>
  <c r="O698" s="1"/>
  <c r="K698" s="1"/>
  <c r="H698" s="1"/>
  <c r="Q699"/>
  <c r="X725"/>
  <c r="M700"/>
  <c r="N700" s="1"/>
  <c r="P700" s="1"/>
  <c r="O700" s="1"/>
  <c r="K700" s="1"/>
  <c r="H700" s="1"/>
  <c r="Q701"/>
  <c r="X727"/>
  <c r="M702"/>
  <c r="N702" s="1"/>
  <c r="P702" s="1"/>
  <c r="O702" s="1"/>
  <c r="K702" s="1"/>
  <c r="H702" s="1"/>
  <c r="Q703"/>
  <c r="X729"/>
  <c r="M517"/>
  <c r="N517" s="1"/>
  <c r="P517" s="1"/>
  <c r="O517" s="1"/>
  <c r="K517" s="1"/>
  <c r="H517" s="1"/>
  <c r="K521"/>
  <c r="H521" s="1"/>
  <c r="M521"/>
  <c r="N521" s="1"/>
  <c r="P521" s="1"/>
  <c r="O521" s="1"/>
  <c r="S776"/>
  <c r="V776" s="1"/>
  <c r="Y776"/>
  <c r="S778"/>
  <c r="V778" s="1"/>
  <c r="Y778"/>
  <c r="M800"/>
  <c r="N800" s="1"/>
  <c r="P800" s="1"/>
  <c r="O800" s="1"/>
  <c r="K800" s="1"/>
  <c r="H800" s="1"/>
  <c r="D775"/>
  <c r="Q801"/>
  <c r="X827"/>
  <c r="K802"/>
  <c r="H802" s="1"/>
  <c r="M802"/>
  <c r="N802" s="1"/>
  <c r="P802" s="1"/>
  <c r="O802" s="1"/>
  <c r="Q803"/>
  <c r="X829"/>
  <c r="K804"/>
  <c r="H804" s="1"/>
  <c r="M804"/>
  <c r="N804" s="1"/>
  <c r="P804" s="1"/>
  <c r="O804" s="1"/>
  <c r="D779"/>
  <c r="Q805"/>
  <c r="X831"/>
  <c r="M806"/>
  <c r="N806" s="1"/>
  <c r="P806" s="1"/>
  <c r="O806" s="1"/>
  <c r="K806" s="1"/>
  <c r="H806" s="1"/>
  <c r="Q807"/>
  <c r="X833"/>
  <c r="M21" i="5"/>
  <c r="N21" s="1"/>
  <c r="P21" s="1"/>
  <c r="O21" s="1"/>
  <c r="K21" s="1"/>
  <c r="H21" s="1"/>
  <c r="M56"/>
  <c r="N56" s="1"/>
  <c r="P56" s="1"/>
  <c r="O56" s="1"/>
  <c r="K56" s="1"/>
  <c r="H56" s="1"/>
  <c r="M58"/>
  <c r="N58" s="1"/>
  <c r="P58" s="1"/>
  <c r="O58" s="1"/>
  <c r="K58" s="1"/>
  <c r="H58" s="1"/>
  <c r="L59"/>
  <c r="Q59"/>
  <c r="M93"/>
  <c r="N93" s="1"/>
  <c r="P93" s="1"/>
  <c r="O93" s="1"/>
  <c r="K93" s="1"/>
  <c r="H93" s="1"/>
  <c r="M128"/>
  <c r="N128" s="1"/>
  <c r="P128" s="1"/>
  <c r="O128" s="1"/>
  <c r="K128" s="1"/>
  <c r="H128" s="1"/>
  <c r="M130"/>
  <c r="N130" s="1"/>
  <c r="P130" s="1"/>
  <c r="O130" s="1"/>
  <c r="K130" s="1"/>
  <c r="H130" s="1"/>
  <c r="L131"/>
  <c r="Q131"/>
  <c r="L132"/>
  <c r="Q132"/>
  <c r="L133"/>
  <c r="Q133"/>
  <c r="L134"/>
  <c r="Q134"/>
  <c r="L135"/>
  <c r="Q135"/>
  <c r="L136"/>
  <c r="Q136"/>
  <c r="L137"/>
  <c r="Q137"/>
  <c r="L138"/>
  <c r="Q138"/>
  <c r="L139"/>
  <c r="Q139"/>
  <c r="L140"/>
  <c r="Q140"/>
  <c r="L141"/>
  <c r="Q141"/>
  <c r="L142"/>
  <c r="Q142"/>
  <c r="L143"/>
  <c r="Q143"/>
  <c r="L164"/>
  <c r="Q164"/>
  <c r="L166"/>
  <c r="Q166"/>
  <c r="M167"/>
  <c r="N167" s="1"/>
  <c r="P167" s="1"/>
  <c r="O167" s="1"/>
  <c r="K167" s="1"/>
  <c r="H167" s="1"/>
  <c r="M168"/>
  <c r="N168" s="1"/>
  <c r="P168" s="1"/>
  <c r="O168" s="1"/>
  <c r="K168" s="1"/>
  <c r="H168" s="1"/>
  <c r="M169"/>
  <c r="N169" s="1"/>
  <c r="P169" s="1"/>
  <c r="O169" s="1"/>
  <c r="K169" s="1"/>
  <c r="H169" s="1"/>
  <c r="M170"/>
  <c r="N170" s="1"/>
  <c r="P170" s="1"/>
  <c r="O170" s="1"/>
  <c r="K170" s="1"/>
  <c r="H170" s="1"/>
  <c r="M171"/>
  <c r="N171" s="1"/>
  <c r="P171" s="1"/>
  <c r="O171" s="1"/>
  <c r="K171" s="1"/>
  <c r="H171" s="1"/>
  <c r="M172"/>
  <c r="N172" s="1"/>
  <c r="P172" s="1"/>
  <c r="O172" s="1"/>
  <c r="K172" s="1"/>
  <c r="H172" s="1"/>
  <c r="M173"/>
  <c r="N173" s="1"/>
  <c r="P173" s="1"/>
  <c r="O173" s="1"/>
  <c r="K173" s="1"/>
  <c r="H173" s="1"/>
  <c r="M174"/>
  <c r="N174" s="1"/>
  <c r="P174" s="1"/>
  <c r="O174" s="1"/>
  <c r="K174" s="1"/>
  <c r="H174" s="1"/>
  <c r="M175"/>
  <c r="N175" s="1"/>
  <c r="P175" s="1"/>
  <c r="O175" s="1"/>
  <c r="K175" s="1"/>
  <c r="H175" s="1"/>
  <c r="M176"/>
  <c r="N176" s="1"/>
  <c r="P176" s="1"/>
  <c r="O176" s="1"/>
  <c r="K176" s="1"/>
  <c r="H176" s="1"/>
  <c r="M177"/>
  <c r="N177" s="1"/>
  <c r="P177" s="1"/>
  <c r="O177" s="1"/>
  <c r="K177" s="1"/>
  <c r="H177" s="1"/>
  <c r="M178"/>
  <c r="N178" s="1"/>
  <c r="P178" s="1"/>
  <c r="O178" s="1"/>
  <c r="K178" s="1"/>
  <c r="H178" s="1"/>
  <c r="M179"/>
  <c r="N179" s="1"/>
  <c r="P179" s="1"/>
  <c r="O179" s="1"/>
  <c r="K179" s="1"/>
  <c r="H179" s="1"/>
  <c r="L201"/>
  <c r="Q201"/>
  <c r="M237"/>
  <c r="N237" s="1"/>
  <c r="P237" s="1"/>
  <c r="O237" s="1"/>
  <c r="K237" s="1"/>
  <c r="H237" s="1"/>
  <c r="K775" i="6"/>
  <c r="H775" s="1"/>
  <c r="M775"/>
  <c r="N775" s="1"/>
  <c r="P775" s="1"/>
  <c r="O775" s="1"/>
  <c r="M779"/>
  <c r="N779" s="1"/>
  <c r="P779" s="1"/>
  <c r="O779" s="1"/>
  <c r="K779" s="1"/>
  <c r="H779" s="1"/>
  <c r="T62" i="5"/>
  <c r="Y74"/>
  <c r="V74" s="1"/>
  <c r="T206"/>
  <c r="Y218"/>
  <c r="V218" s="1"/>
  <c r="M452"/>
  <c r="N452" s="1"/>
  <c r="P452" s="1"/>
  <c r="O452" s="1"/>
  <c r="K452" s="1"/>
  <c r="H452" s="1"/>
  <c r="S452" s="1"/>
  <c r="M488"/>
  <c r="N488" s="1"/>
  <c r="P488" s="1"/>
  <c r="O488" s="1"/>
  <c r="K488" s="1"/>
  <c r="H488" s="1"/>
  <c r="M490"/>
  <c r="N490" s="1"/>
  <c r="P490" s="1"/>
  <c r="O490" s="1"/>
  <c r="K490" s="1"/>
  <c r="H490" s="1"/>
  <c r="Q491"/>
  <c r="L491"/>
  <c r="Q492"/>
  <c r="L492"/>
  <c r="Q493"/>
  <c r="L493"/>
  <c r="Q494"/>
  <c r="L494"/>
  <c r="Q495"/>
  <c r="L495"/>
  <c r="Q496"/>
  <c r="L496"/>
  <c r="Q497"/>
  <c r="L497"/>
  <c r="Q498"/>
  <c r="L498"/>
  <c r="Q499"/>
  <c r="L499"/>
  <c r="Q500"/>
  <c r="L500"/>
  <c r="Q501"/>
  <c r="L501"/>
  <c r="Q502"/>
  <c r="L502"/>
  <c r="Q503"/>
  <c r="L503"/>
  <c r="Q524"/>
  <c r="L524"/>
  <c r="Q526"/>
  <c r="L526"/>
  <c r="M527"/>
  <c r="N527" s="1"/>
  <c r="P527" s="1"/>
  <c r="O527" s="1"/>
  <c r="K527" s="1"/>
  <c r="H527" s="1"/>
  <c r="M528"/>
  <c r="N528" s="1"/>
  <c r="P528" s="1"/>
  <c r="O528" s="1"/>
  <c r="K528" s="1"/>
  <c r="H528" s="1"/>
  <c r="M529"/>
  <c r="N529" s="1"/>
  <c r="P529" s="1"/>
  <c r="O529" s="1"/>
  <c r="K529" s="1"/>
  <c r="H529" s="1"/>
  <c r="M530"/>
  <c r="N530" s="1"/>
  <c r="P530" s="1"/>
  <c r="O530" s="1"/>
  <c r="K530" s="1"/>
  <c r="H530" s="1"/>
  <c r="M531"/>
  <c r="N531" s="1"/>
  <c r="P531" s="1"/>
  <c r="O531" s="1"/>
  <c r="K531" s="1"/>
  <c r="H531" s="1"/>
  <c r="M532"/>
  <c r="N532" s="1"/>
  <c r="P532" s="1"/>
  <c r="O532" s="1"/>
  <c r="K532" s="1"/>
  <c r="H532" s="1"/>
  <c r="M533"/>
  <c r="N533" s="1"/>
  <c r="P533" s="1"/>
  <c r="O533" s="1"/>
  <c r="K533" s="1"/>
  <c r="H533" s="1"/>
  <c r="M534"/>
  <c r="N534" s="1"/>
  <c r="P534" s="1"/>
  <c r="O534" s="1"/>
  <c r="K534" s="1"/>
  <c r="H534" s="1"/>
  <c r="M535"/>
  <c r="N535" s="1"/>
  <c r="P535" s="1"/>
  <c r="O535" s="1"/>
  <c r="K535" s="1"/>
  <c r="H535" s="1"/>
  <c r="M536"/>
  <c r="N536" s="1"/>
  <c r="P536" s="1"/>
  <c r="O536" s="1"/>
  <c r="K536" s="1"/>
  <c r="H536" s="1"/>
  <c r="M537"/>
  <c r="N537" s="1"/>
  <c r="P537" s="1"/>
  <c r="O537" s="1"/>
  <c r="K537" s="1"/>
  <c r="H537" s="1"/>
  <c r="M538"/>
  <c r="N538" s="1"/>
  <c r="P538" s="1"/>
  <c r="O538" s="1"/>
  <c r="K538" s="1"/>
  <c r="H538" s="1"/>
  <c r="M539"/>
  <c r="N539" s="1"/>
  <c r="P539" s="1"/>
  <c r="O539" s="1"/>
  <c r="K539" s="1"/>
  <c r="H539" s="1"/>
  <c r="Q561"/>
  <c r="L561"/>
  <c r="K83" i="2"/>
  <c r="A85"/>
  <c r="K79"/>
  <c r="A80"/>
  <c r="A75"/>
  <c r="K75"/>
  <c r="A79"/>
  <c r="K78"/>
  <c r="A74"/>
  <c r="K74"/>
  <c r="M272" i="5"/>
  <c r="N272" s="1"/>
  <c r="P272" s="1"/>
  <c r="O272" s="1"/>
  <c r="K272" s="1"/>
  <c r="H272" s="1"/>
  <c r="M274"/>
  <c r="N274" s="1"/>
  <c r="P274" s="1"/>
  <c r="O274" s="1"/>
  <c r="K274" s="1"/>
  <c r="H274" s="1"/>
  <c r="Q276"/>
  <c r="L276"/>
  <c r="Q278"/>
  <c r="L278"/>
  <c r="Q281"/>
  <c r="L281"/>
  <c r="Q282"/>
  <c r="L282"/>
  <c r="Q283"/>
  <c r="L283"/>
  <c r="Q284"/>
  <c r="L284"/>
  <c r="Q285"/>
  <c r="L285"/>
  <c r="Q286"/>
  <c r="L286"/>
  <c r="Q287"/>
  <c r="L287"/>
  <c r="Q310"/>
  <c r="L310"/>
  <c r="M316"/>
  <c r="N316" s="1"/>
  <c r="P316" s="1"/>
  <c r="O316" s="1"/>
  <c r="K316" s="1"/>
  <c r="H316" s="1"/>
  <c r="M317"/>
  <c r="N317" s="1"/>
  <c r="P317" s="1"/>
  <c r="O317" s="1"/>
  <c r="K317" s="1"/>
  <c r="H317" s="1"/>
  <c r="M319"/>
  <c r="N319" s="1"/>
  <c r="P319" s="1"/>
  <c r="O319" s="1"/>
  <c r="K319" s="1"/>
  <c r="H319" s="1"/>
  <c r="M321"/>
  <c r="N321" s="1"/>
  <c r="P321" s="1"/>
  <c r="O321" s="1"/>
  <c r="K321" s="1"/>
  <c r="H321" s="1"/>
  <c r="M323"/>
  <c r="N323" s="1"/>
  <c r="P323" s="1"/>
  <c r="O323" s="1"/>
  <c r="K323" s="1"/>
  <c r="H323" s="1"/>
  <c r="Q345"/>
  <c r="L345"/>
  <c r="Q347"/>
  <c r="L347"/>
  <c r="Q349"/>
  <c r="L349"/>
  <c r="Q351"/>
  <c r="L351"/>
  <c r="Q352"/>
  <c r="L352"/>
  <c r="Q380"/>
  <c r="L380"/>
  <c r="Q454"/>
  <c r="L454"/>
  <c r="M460"/>
  <c r="N460" s="1"/>
  <c r="P460" s="1"/>
  <c r="O460" s="1"/>
  <c r="K460" s="1"/>
  <c r="H460" s="1"/>
  <c r="T134"/>
  <c r="Y146"/>
  <c r="V146" s="1"/>
  <c r="T350"/>
  <c r="Q273"/>
  <c r="L273"/>
  <c r="Q275"/>
  <c r="L275"/>
  <c r="Q277"/>
  <c r="L277"/>
  <c r="Q279"/>
  <c r="L279"/>
  <c r="Q280"/>
  <c r="L280"/>
  <c r="Q308"/>
  <c r="T566"/>
  <c r="Y578"/>
  <c r="V578" s="1"/>
  <c r="T530"/>
  <c r="Y542"/>
  <c r="V542" s="1"/>
  <c r="T458"/>
  <c r="Y470"/>
  <c r="V470" s="1"/>
  <c r="T314"/>
  <c r="Y326"/>
  <c r="V326" s="1"/>
  <c r="T386"/>
  <c r="Y398"/>
  <c r="V398" s="1"/>
  <c r="T242"/>
  <c r="Y254"/>
  <c r="V254" s="1"/>
  <c r="T170"/>
  <c r="Y182"/>
  <c r="V182" s="1"/>
  <c r="T98"/>
  <c r="Y110"/>
  <c r="V110" s="1"/>
  <c r="T26"/>
  <c r="Y38"/>
  <c r="V38" s="1"/>
  <c r="C30" i="6"/>
  <c r="G30"/>
  <c r="C134"/>
  <c r="E134"/>
  <c r="G134"/>
  <c r="E238"/>
  <c r="F238" s="1"/>
  <c r="C238"/>
  <c r="G238"/>
  <c r="C342"/>
  <c r="E342"/>
  <c r="F342" s="1"/>
  <c r="G342"/>
  <c r="G31"/>
  <c r="C31"/>
  <c r="L31"/>
  <c r="G135"/>
  <c r="C135"/>
  <c r="L135"/>
  <c r="C239"/>
  <c r="G239"/>
  <c r="G343"/>
  <c r="C343"/>
  <c r="L343"/>
  <c r="C32"/>
  <c r="G32"/>
  <c r="C136"/>
  <c r="G136"/>
  <c r="G240"/>
  <c r="C240"/>
  <c r="L240"/>
  <c r="C344"/>
  <c r="G344"/>
  <c r="C33"/>
  <c r="G33"/>
  <c r="C137"/>
  <c r="G137"/>
  <c r="G241"/>
  <c r="C241"/>
  <c r="L241"/>
  <c r="C345"/>
  <c r="G345"/>
  <c r="C34"/>
  <c r="G34"/>
  <c r="C138"/>
  <c r="G138"/>
  <c r="G242"/>
  <c r="C242"/>
  <c r="L242"/>
  <c r="C346"/>
  <c r="G346"/>
  <c r="X51"/>
  <c r="X154"/>
  <c r="D365"/>
  <c r="X359"/>
  <c r="X363"/>
  <c r="D358"/>
  <c r="X462"/>
  <c r="X466"/>
  <c r="D515"/>
  <c r="X570"/>
  <c r="D625"/>
  <c r="D673"/>
  <c r="D676"/>
  <c r="X675"/>
  <c r="D619"/>
  <c r="X572"/>
  <c r="D671"/>
  <c r="D674"/>
  <c r="X673"/>
  <c r="D777"/>
  <c r="X774"/>
  <c r="X778"/>
  <c r="U26" i="5"/>
  <c r="Y76"/>
  <c r="V76" s="1"/>
  <c r="Y78"/>
  <c r="V78" s="1"/>
  <c r="Y80"/>
  <c r="V80" s="1"/>
  <c r="Y82"/>
  <c r="V82" s="1"/>
  <c r="Y84"/>
  <c r="V84" s="1"/>
  <c r="Y86"/>
  <c r="V86" s="1"/>
  <c r="Y88"/>
  <c r="V88" s="1"/>
  <c r="Y220"/>
  <c r="V220" s="1"/>
  <c r="Y222"/>
  <c r="V222" s="1"/>
  <c r="Y224"/>
  <c r="V224" s="1"/>
  <c r="Y226"/>
  <c r="V226" s="1"/>
  <c r="Y228"/>
  <c r="V228" s="1"/>
  <c r="Y230"/>
  <c r="V230" s="1"/>
  <c r="Y291"/>
  <c r="V291" s="1"/>
  <c r="Y293"/>
  <c r="V293" s="1"/>
  <c r="Y295"/>
  <c r="V295" s="1"/>
  <c r="L296"/>
  <c r="L297"/>
  <c r="L298"/>
  <c r="L299"/>
  <c r="L300"/>
  <c r="L301"/>
  <c r="L302"/>
  <c r="L303"/>
  <c r="L304"/>
  <c r="L305"/>
  <c r="Y75"/>
  <c r="V75" s="1"/>
  <c r="Y77"/>
  <c r="V77" s="1"/>
  <c r="Y79"/>
  <c r="V79" s="1"/>
  <c r="Y81"/>
  <c r="V81" s="1"/>
  <c r="Y83"/>
  <c r="V83" s="1"/>
  <c r="Y85"/>
  <c r="V85" s="1"/>
  <c r="Y87"/>
  <c r="V87" s="1"/>
  <c r="Y89"/>
  <c r="V89" s="1"/>
  <c r="Y148"/>
  <c r="V148" s="1"/>
  <c r="Y150"/>
  <c r="V150" s="1"/>
  <c r="Y152"/>
  <c r="V152" s="1"/>
  <c r="Y154"/>
  <c r="V154" s="1"/>
  <c r="Y156"/>
  <c r="V156" s="1"/>
  <c r="Y158"/>
  <c r="V158" s="1"/>
  <c r="Y160"/>
  <c r="V160" s="1"/>
  <c r="Y219"/>
  <c r="V219" s="1"/>
  <c r="Y221"/>
  <c r="V221" s="1"/>
  <c r="Y223"/>
  <c r="V223" s="1"/>
  <c r="Y225"/>
  <c r="V225" s="1"/>
  <c r="Y227"/>
  <c r="V227" s="1"/>
  <c r="Y229"/>
  <c r="V229" s="1"/>
  <c r="Y231"/>
  <c r="V231" s="1"/>
  <c r="Y233"/>
  <c r="V233" s="1"/>
  <c r="Y364"/>
  <c r="V364" s="1"/>
  <c r="Y366"/>
  <c r="V366" s="1"/>
  <c r="Y370"/>
  <c r="V370" s="1"/>
  <c r="Y374"/>
  <c r="V374" s="1"/>
  <c r="U458"/>
  <c r="Y580"/>
  <c r="V580" s="1"/>
  <c r="Y582"/>
  <c r="V582" s="1"/>
  <c r="Y584"/>
  <c r="V584" s="1"/>
  <c r="Y586"/>
  <c r="V586" s="1"/>
  <c r="Y588"/>
  <c r="V588" s="1"/>
  <c r="Y590"/>
  <c r="V590" s="1"/>
  <c r="Y592"/>
  <c r="V592" s="1"/>
  <c r="T289"/>
  <c r="S264"/>
  <c r="S268"/>
  <c r="S328"/>
  <c r="S332"/>
  <c r="S336"/>
  <c r="S340"/>
  <c r="S542"/>
  <c r="S544"/>
  <c r="S548"/>
  <c r="S552"/>
  <c r="S556"/>
  <c r="E4" i="4"/>
  <c r="E5"/>
  <c r="E6"/>
  <c r="E7"/>
  <c r="E8"/>
  <c r="E9"/>
  <c r="E10"/>
  <c r="E11"/>
  <c r="E12"/>
  <c r="E13"/>
  <c r="E14"/>
  <c r="E15"/>
  <c r="E16"/>
  <c r="E17"/>
  <c r="E18"/>
  <c r="E19"/>
  <c r="C4"/>
  <c r="C5"/>
  <c r="C6"/>
  <c r="C7"/>
  <c r="C8"/>
  <c r="C9"/>
  <c r="C10"/>
  <c r="C11"/>
  <c r="C12"/>
  <c r="C13"/>
  <c r="C14"/>
  <c r="C15"/>
  <c r="C16"/>
  <c r="C17"/>
  <c r="C18"/>
  <c r="C19"/>
  <c r="C56" i="6"/>
  <c r="G56"/>
  <c r="C160"/>
  <c r="G160"/>
  <c r="L160"/>
  <c r="C264"/>
  <c r="G264"/>
  <c r="G368"/>
  <c r="C368"/>
  <c r="C57"/>
  <c r="G57"/>
  <c r="E57"/>
  <c r="C161"/>
  <c r="G161"/>
  <c r="C265"/>
  <c r="G265"/>
  <c r="L265"/>
  <c r="E369"/>
  <c r="C369"/>
  <c r="G369"/>
  <c r="L369"/>
  <c r="C58"/>
  <c r="G58"/>
  <c r="E58"/>
  <c r="C162"/>
  <c r="G162"/>
  <c r="C266"/>
  <c r="G266"/>
  <c r="L266"/>
  <c r="E370"/>
  <c r="C370"/>
  <c r="G370"/>
  <c r="L370"/>
  <c r="C59"/>
  <c r="G59"/>
  <c r="E59"/>
  <c r="C163"/>
  <c r="G163"/>
  <c r="C267"/>
  <c r="G267"/>
  <c r="L267"/>
  <c r="E371"/>
  <c r="C371"/>
  <c r="G371"/>
  <c r="L371"/>
  <c r="C60"/>
  <c r="G60"/>
  <c r="E60"/>
  <c r="C164"/>
  <c r="G164"/>
  <c r="C268"/>
  <c r="G268"/>
  <c r="L268"/>
  <c r="E372"/>
  <c r="C372"/>
  <c r="G372"/>
  <c r="L372"/>
  <c r="C61"/>
  <c r="G61"/>
  <c r="E61"/>
  <c r="C165"/>
  <c r="G165"/>
  <c r="C269"/>
  <c r="G269"/>
  <c r="L269"/>
  <c r="E373"/>
  <c r="C373"/>
  <c r="G373"/>
  <c r="L373"/>
  <c r="C62"/>
  <c r="G62"/>
  <c r="E62"/>
  <c r="C166"/>
  <c r="G166"/>
  <c r="C270"/>
  <c r="G270"/>
  <c r="L270"/>
  <c r="E374"/>
  <c r="C374"/>
  <c r="G374"/>
  <c r="L374"/>
  <c r="C63"/>
  <c r="G63"/>
  <c r="E63"/>
  <c r="C167"/>
  <c r="G167"/>
  <c r="C271"/>
  <c r="G271"/>
  <c r="L271"/>
  <c r="E375"/>
  <c r="C375"/>
  <c r="G375"/>
  <c r="L375"/>
  <c r="C64"/>
  <c r="G64"/>
  <c r="E64"/>
  <c r="C168"/>
  <c r="G168"/>
  <c r="C272"/>
  <c r="G272"/>
  <c r="L272"/>
  <c r="E376"/>
  <c r="C376"/>
  <c r="G376"/>
  <c r="L376"/>
  <c r="C65"/>
  <c r="G65"/>
  <c r="E65"/>
  <c r="C169"/>
  <c r="G169"/>
  <c r="C273"/>
  <c r="G273"/>
  <c r="L273"/>
  <c r="E377"/>
  <c r="C377"/>
  <c r="G377"/>
  <c r="L377"/>
  <c r="C66"/>
  <c r="G66"/>
  <c r="E66"/>
  <c r="C170"/>
  <c r="G170"/>
  <c r="C274"/>
  <c r="G274"/>
  <c r="L274"/>
  <c r="E378"/>
  <c r="C378"/>
  <c r="G378"/>
  <c r="L378"/>
  <c r="C67"/>
  <c r="G67"/>
  <c r="E67"/>
  <c r="C171"/>
  <c r="G171"/>
  <c r="C275"/>
  <c r="G275"/>
  <c r="L275"/>
  <c r="E379"/>
  <c r="C379"/>
  <c r="G379"/>
  <c r="L379"/>
  <c r="C68"/>
  <c r="G68"/>
  <c r="E68"/>
  <c r="C172"/>
  <c r="G172"/>
  <c r="C276"/>
  <c r="G276"/>
  <c r="L276"/>
  <c r="E380"/>
  <c r="C380"/>
  <c r="G380"/>
  <c r="L380"/>
  <c r="C69"/>
  <c r="G69"/>
  <c r="E69"/>
  <c r="C173"/>
  <c r="G173"/>
  <c r="C277"/>
  <c r="G277"/>
  <c r="L277"/>
  <c r="E381"/>
  <c r="C381"/>
  <c r="G381"/>
  <c r="L381"/>
  <c r="C70"/>
  <c r="G70"/>
  <c r="E70"/>
  <c r="C174"/>
  <c r="G174"/>
  <c r="C278"/>
  <c r="G278"/>
  <c r="L278"/>
  <c r="E382"/>
  <c r="C382"/>
  <c r="G382"/>
  <c r="L382"/>
  <c r="C71"/>
  <c r="G71"/>
  <c r="E71"/>
  <c r="C175"/>
  <c r="G175"/>
  <c r="C279"/>
  <c r="G279"/>
  <c r="L279"/>
  <c r="E383"/>
  <c r="C383"/>
  <c r="G383"/>
  <c r="L383"/>
  <c r="G524"/>
  <c r="L524" s="1"/>
  <c r="C524"/>
  <c r="C628"/>
  <c r="G628"/>
  <c r="L628" s="1"/>
  <c r="G732"/>
  <c r="L732" s="1"/>
  <c r="C732"/>
  <c r="G836"/>
  <c r="C836"/>
  <c r="C525"/>
  <c r="G525"/>
  <c r="E525"/>
  <c r="E629"/>
  <c r="C629"/>
  <c r="G629"/>
  <c r="L629" s="1"/>
  <c r="C733"/>
  <c r="G733"/>
  <c r="C837"/>
  <c r="G837"/>
  <c r="L837" s="1"/>
  <c r="C526"/>
  <c r="G526"/>
  <c r="E526"/>
  <c r="E630"/>
  <c r="C630"/>
  <c r="G630"/>
  <c r="L630" s="1"/>
  <c r="C734"/>
  <c r="G734"/>
  <c r="C838"/>
  <c r="G838"/>
  <c r="L838" s="1"/>
  <c r="C527"/>
  <c r="G527"/>
  <c r="E527"/>
  <c r="E631"/>
  <c r="C631"/>
  <c r="G631"/>
  <c r="L631" s="1"/>
  <c r="C735"/>
  <c r="G735"/>
  <c r="C839"/>
  <c r="G839"/>
  <c r="L839" s="1"/>
  <c r="C528"/>
  <c r="G528"/>
  <c r="E528"/>
  <c r="E632"/>
  <c r="C632"/>
  <c r="G632"/>
  <c r="L632" s="1"/>
  <c r="C736"/>
  <c r="G736"/>
  <c r="C840"/>
  <c r="G840"/>
  <c r="L840" s="1"/>
  <c r="C529"/>
  <c r="G529"/>
  <c r="E529"/>
  <c r="E633"/>
  <c r="C633"/>
  <c r="G633"/>
  <c r="L633" s="1"/>
  <c r="C737"/>
  <c r="G737"/>
  <c r="C841"/>
  <c r="G841"/>
  <c r="L841" s="1"/>
  <c r="C82"/>
  <c r="G82"/>
  <c r="C186"/>
  <c r="E186"/>
  <c r="F186" s="1"/>
  <c r="G186"/>
  <c r="C290"/>
  <c r="E290"/>
  <c r="F290" s="1"/>
  <c r="G290"/>
  <c r="C394"/>
  <c r="G394"/>
  <c r="G83"/>
  <c r="C83"/>
  <c r="L83"/>
  <c r="G187"/>
  <c r="C187"/>
  <c r="L187"/>
  <c r="G291"/>
  <c r="C291"/>
  <c r="L291"/>
  <c r="C395"/>
  <c r="G395"/>
  <c r="G84"/>
  <c r="C84"/>
  <c r="L84"/>
  <c r="G188"/>
  <c r="C188"/>
  <c r="L188"/>
  <c r="G292"/>
  <c r="C292"/>
  <c r="L292"/>
  <c r="C396"/>
  <c r="G396"/>
  <c r="G85"/>
  <c r="C85"/>
  <c r="L85"/>
  <c r="G189"/>
  <c r="C189"/>
  <c r="L189"/>
  <c r="G293"/>
  <c r="C293"/>
  <c r="L293"/>
  <c r="C397"/>
  <c r="G397"/>
  <c r="G86"/>
  <c r="C86"/>
  <c r="L86"/>
  <c r="G190"/>
  <c r="C190"/>
  <c r="L190"/>
  <c r="G294"/>
  <c r="C294"/>
  <c r="L294"/>
  <c r="C398"/>
  <c r="G398"/>
  <c r="G87"/>
  <c r="C87"/>
  <c r="L87"/>
  <c r="G191"/>
  <c r="C191"/>
  <c r="L191"/>
  <c r="G295"/>
  <c r="C295"/>
  <c r="L295"/>
  <c r="C399"/>
  <c r="G399"/>
  <c r="C88"/>
  <c r="G88"/>
  <c r="L88" s="1"/>
  <c r="C296"/>
  <c r="G296"/>
  <c r="G89"/>
  <c r="C89"/>
  <c r="L89"/>
  <c r="G297"/>
  <c r="C297"/>
  <c r="L297"/>
  <c r="C90"/>
  <c r="G90"/>
  <c r="L90" s="1"/>
  <c r="C298"/>
  <c r="G298"/>
  <c r="G91"/>
  <c r="C91"/>
  <c r="L91"/>
  <c r="G299"/>
  <c r="C299"/>
  <c r="L299"/>
  <c r="C92"/>
  <c r="G92"/>
  <c r="L92" s="1"/>
  <c r="C300"/>
  <c r="G300"/>
  <c r="G93"/>
  <c r="C93"/>
  <c r="L93"/>
  <c r="G301"/>
  <c r="C301"/>
  <c r="L301"/>
  <c r="C94"/>
  <c r="G94"/>
  <c r="L94" s="1"/>
  <c r="C302"/>
  <c r="G302"/>
  <c r="G95"/>
  <c r="C95"/>
  <c r="L95"/>
  <c r="G303"/>
  <c r="C303"/>
  <c r="L303"/>
  <c r="C96"/>
  <c r="G96"/>
  <c r="L96" s="1"/>
  <c r="C304"/>
  <c r="G304"/>
  <c r="G97"/>
  <c r="C97"/>
  <c r="L97"/>
  <c r="G305"/>
  <c r="C305"/>
  <c r="L305"/>
  <c r="C446"/>
  <c r="G446"/>
  <c r="C654"/>
  <c r="E654"/>
  <c r="F654" s="1"/>
  <c r="G654"/>
  <c r="C447"/>
  <c r="G447"/>
  <c r="G655"/>
  <c r="C655"/>
  <c r="L655"/>
  <c r="G448"/>
  <c r="C448"/>
  <c r="L448"/>
  <c r="C656"/>
  <c r="G656"/>
  <c r="G449"/>
  <c r="C449"/>
  <c r="L449"/>
  <c r="C657"/>
  <c r="G657"/>
  <c r="G450"/>
  <c r="C450"/>
  <c r="L450"/>
  <c r="C658"/>
  <c r="G658"/>
  <c r="G451"/>
  <c r="C451"/>
  <c r="L451"/>
  <c r="C659"/>
  <c r="G659"/>
  <c r="C452"/>
  <c r="G452"/>
  <c r="C556"/>
  <c r="G556"/>
  <c r="G660"/>
  <c r="C660"/>
  <c r="L660"/>
  <c r="G764"/>
  <c r="C764"/>
  <c r="L764"/>
  <c r="G453"/>
  <c r="C453"/>
  <c r="L453"/>
  <c r="G557"/>
  <c r="C557"/>
  <c r="L557"/>
  <c r="C661"/>
  <c r="G661"/>
  <c r="C765"/>
  <c r="G765"/>
  <c r="C454"/>
  <c r="G454"/>
  <c r="C558"/>
  <c r="G558"/>
  <c r="G662"/>
  <c r="C662"/>
  <c r="L662"/>
  <c r="G766"/>
  <c r="C766"/>
  <c r="L766"/>
  <c r="G455"/>
  <c r="C455"/>
  <c r="L455"/>
  <c r="G559"/>
  <c r="C559"/>
  <c r="C663"/>
  <c r="G663"/>
  <c r="C767"/>
  <c r="G767"/>
  <c r="C456"/>
  <c r="G456"/>
  <c r="C560"/>
  <c r="G560"/>
  <c r="G664"/>
  <c r="C664"/>
  <c r="L664"/>
  <c r="G768"/>
  <c r="C768"/>
  <c r="L768"/>
  <c r="G457"/>
  <c r="C457"/>
  <c r="L457"/>
  <c r="G561"/>
  <c r="C561"/>
  <c r="L561"/>
  <c r="C665"/>
  <c r="G665"/>
  <c r="C769"/>
  <c r="G769"/>
  <c r="C458"/>
  <c r="G458"/>
  <c r="C562"/>
  <c r="G562"/>
  <c r="G666"/>
  <c r="C666"/>
  <c r="L666"/>
  <c r="G770"/>
  <c r="C770"/>
  <c r="L770"/>
  <c r="G459"/>
  <c r="C459"/>
  <c r="L459"/>
  <c r="G563"/>
  <c r="C563"/>
  <c r="L563"/>
  <c r="C667"/>
  <c r="G667"/>
  <c r="C771"/>
  <c r="G771"/>
  <c r="G460"/>
  <c r="C460"/>
  <c r="L460"/>
  <c r="G564"/>
  <c r="C564"/>
  <c r="L564"/>
  <c r="C668"/>
  <c r="G668"/>
  <c r="C772"/>
  <c r="G772"/>
  <c r="G461"/>
  <c r="C461"/>
  <c r="L461"/>
  <c r="G565"/>
  <c r="C565"/>
  <c r="L565"/>
  <c r="C669"/>
  <c r="G669"/>
  <c r="C773"/>
  <c r="G773"/>
  <c r="E218"/>
  <c r="C218"/>
  <c r="G218"/>
  <c r="C426"/>
  <c r="G426"/>
  <c r="L426" s="1"/>
  <c r="E219"/>
  <c r="C219"/>
  <c r="G219"/>
  <c r="L219" s="1"/>
  <c r="C427"/>
  <c r="G427"/>
  <c r="E220"/>
  <c r="C220"/>
  <c r="G220"/>
  <c r="C428"/>
  <c r="G428"/>
  <c r="L428" s="1"/>
  <c r="C221"/>
  <c r="G221"/>
  <c r="E221"/>
  <c r="C429"/>
  <c r="G429"/>
  <c r="C222"/>
  <c r="G222"/>
  <c r="L222" s="1"/>
  <c r="E222"/>
  <c r="C430"/>
  <c r="G430"/>
  <c r="L430" s="1"/>
  <c r="C223"/>
  <c r="G223"/>
  <c r="E223"/>
  <c r="C431"/>
  <c r="G431"/>
  <c r="C224"/>
  <c r="G224"/>
  <c r="L224" s="1"/>
  <c r="E224"/>
  <c r="C432"/>
  <c r="G432"/>
  <c r="L432" s="1"/>
  <c r="C225"/>
  <c r="G225"/>
  <c r="E225"/>
  <c r="C433"/>
  <c r="G433"/>
  <c r="C226"/>
  <c r="G226"/>
  <c r="L226" s="1"/>
  <c r="E226"/>
  <c r="C434"/>
  <c r="G434"/>
  <c r="L434" s="1"/>
  <c r="C227"/>
  <c r="G227"/>
  <c r="E227"/>
  <c r="C435"/>
  <c r="G435"/>
  <c r="C576"/>
  <c r="G576"/>
  <c r="L576" s="1"/>
  <c r="G784"/>
  <c r="L784" s="1"/>
  <c r="C784"/>
  <c r="C577"/>
  <c r="G577"/>
  <c r="L577" s="1"/>
  <c r="E785"/>
  <c r="C785"/>
  <c r="G785"/>
  <c r="L785" s="1"/>
  <c r="C578"/>
  <c r="G578"/>
  <c r="E786"/>
  <c r="C786"/>
  <c r="G786"/>
  <c r="C579"/>
  <c r="G579"/>
  <c r="L579" s="1"/>
  <c r="E787"/>
  <c r="C787"/>
  <c r="G787"/>
  <c r="L787" s="1"/>
  <c r="C580"/>
  <c r="G580"/>
  <c r="E788"/>
  <c r="C788"/>
  <c r="G788"/>
  <c r="C581"/>
  <c r="G581"/>
  <c r="L581" s="1"/>
  <c r="E789"/>
  <c r="C789"/>
  <c r="G789"/>
  <c r="L789" s="1"/>
  <c r="C530"/>
  <c r="G530"/>
  <c r="E530"/>
  <c r="E634"/>
  <c r="C634"/>
  <c r="G634"/>
  <c r="L634" s="1"/>
  <c r="C738"/>
  <c r="G738"/>
  <c r="C842"/>
  <c r="G842"/>
  <c r="L842" s="1"/>
  <c r="C531"/>
  <c r="G531"/>
  <c r="E531"/>
  <c r="E635"/>
  <c r="C635"/>
  <c r="G635"/>
  <c r="L635" s="1"/>
  <c r="C739"/>
  <c r="G739"/>
  <c r="C843"/>
  <c r="G843"/>
  <c r="L843" s="1"/>
  <c r="C532"/>
  <c r="G532"/>
  <c r="E532"/>
  <c r="E636"/>
  <c r="C636"/>
  <c r="G636"/>
  <c r="L636" s="1"/>
  <c r="C740"/>
  <c r="G740"/>
  <c r="C844"/>
  <c r="G844"/>
  <c r="L844" s="1"/>
  <c r="C533"/>
  <c r="G533"/>
  <c r="E533"/>
  <c r="E637"/>
  <c r="C637"/>
  <c r="G637"/>
  <c r="L637" s="1"/>
  <c r="C741"/>
  <c r="G741"/>
  <c r="C845"/>
  <c r="G845"/>
  <c r="L845" s="1"/>
  <c r="C534"/>
  <c r="G534"/>
  <c r="E534"/>
  <c r="E638"/>
  <c r="C638"/>
  <c r="G638"/>
  <c r="L638" s="1"/>
  <c r="C742"/>
  <c r="G742"/>
  <c r="C846"/>
  <c r="G846"/>
  <c r="L846" s="1"/>
  <c r="C535"/>
  <c r="G535"/>
  <c r="E535"/>
  <c r="E639"/>
  <c r="C639"/>
  <c r="G639"/>
  <c r="L639" s="1"/>
  <c r="C743"/>
  <c r="G743"/>
  <c r="C847"/>
  <c r="G847"/>
  <c r="L847" s="1"/>
  <c r="C536"/>
  <c r="G536"/>
  <c r="L536" s="1"/>
  <c r="E536"/>
  <c r="E640"/>
  <c r="C640"/>
  <c r="G640"/>
  <c r="L640" s="1"/>
  <c r="C744"/>
  <c r="G744"/>
  <c r="L744" s="1"/>
  <c r="C848"/>
  <c r="G848"/>
  <c r="L848" s="1"/>
  <c r="C537"/>
  <c r="G537"/>
  <c r="L537" s="1"/>
  <c r="E537"/>
  <c r="E641"/>
  <c r="C641"/>
  <c r="G641"/>
  <c r="L641" s="1"/>
  <c r="C745"/>
  <c r="G745"/>
  <c r="L745" s="1"/>
  <c r="C849"/>
  <c r="G849"/>
  <c r="L849" s="1"/>
  <c r="C538"/>
  <c r="G538"/>
  <c r="L538" s="1"/>
  <c r="E538"/>
  <c r="E642"/>
  <c r="C642"/>
  <c r="G642"/>
  <c r="L642" s="1"/>
  <c r="C746"/>
  <c r="G746"/>
  <c r="L746" s="1"/>
  <c r="C850"/>
  <c r="G850"/>
  <c r="L850" s="1"/>
  <c r="C539"/>
  <c r="G539"/>
  <c r="L539" s="1"/>
  <c r="E539"/>
  <c r="E643"/>
  <c r="C643"/>
  <c r="G643"/>
  <c r="L643" s="1"/>
  <c r="C747"/>
  <c r="G747"/>
  <c r="L747" s="1"/>
  <c r="C851"/>
  <c r="G851"/>
  <c r="L851" s="1"/>
  <c r="C35"/>
  <c r="G35"/>
  <c r="C139"/>
  <c r="G139"/>
  <c r="G243"/>
  <c r="C243"/>
  <c r="L243"/>
  <c r="C347"/>
  <c r="G347"/>
  <c r="G36"/>
  <c r="C36"/>
  <c r="L36"/>
  <c r="G140"/>
  <c r="C140"/>
  <c r="L140"/>
  <c r="C244"/>
  <c r="G244"/>
  <c r="G348"/>
  <c r="C348"/>
  <c r="L348"/>
  <c r="C37"/>
  <c r="G37"/>
  <c r="C141"/>
  <c r="G141"/>
  <c r="G245"/>
  <c r="C245"/>
  <c r="L245"/>
  <c r="C349"/>
  <c r="G349"/>
  <c r="G38"/>
  <c r="C38"/>
  <c r="L38"/>
  <c r="G142"/>
  <c r="C142"/>
  <c r="L142"/>
  <c r="C246"/>
  <c r="G246"/>
  <c r="G350"/>
  <c r="C350"/>
  <c r="L350"/>
  <c r="C39"/>
  <c r="G39"/>
  <c r="C143"/>
  <c r="G143"/>
  <c r="G247"/>
  <c r="C247"/>
  <c r="L247"/>
  <c r="C351"/>
  <c r="G351"/>
  <c r="G40"/>
  <c r="C40"/>
  <c r="L40"/>
  <c r="C144"/>
  <c r="G144"/>
  <c r="C248"/>
  <c r="G248"/>
  <c r="C352"/>
  <c r="G352"/>
  <c r="C41"/>
  <c r="G41"/>
  <c r="G145"/>
  <c r="C145"/>
  <c r="L145"/>
  <c r="G249"/>
  <c r="C249"/>
  <c r="L249"/>
  <c r="G353"/>
  <c r="C353"/>
  <c r="L353"/>
  <c r="G42"/>
  <c r="C42"/>
  <c r="L42"/>
  <c r="C146"/>
  <c r="G146"/>
  <c r="C250"/>
  <c r="G250"/>
  <c r="C354"/>
  <c r="G354"/>
  <c r="C43"/>
  <c r="G43"/>
  <c r="G147"/>
  <c r="C147"/>
  <c r="L147"/>
  <c r="G251"/>
  <c r="C251"/>
  <c r="L251"/>
  <c r="G355"/>
  <c r="C355"/>
  <c r="L355"/>
  <c r="C44"/>
  <c r="G44"/>
  <c r="G148"/>
  <c r="E148"/>
  <c r="C148"/>
  <c r="G252"/>
  <c r="C252"/>
  <c r="L252"/>
  <c r="G356"/>
  <c r="C356"/>
  <c r="L356"/>
  <c r="C45"/>
  <c r="G45"/>
  <c r="G149"/>
  <c r="C149"/>
  <c r="L149"/>
  <c r="G253"/>
  <c r="C253"/>
  <c r="L253"/>
  <c r="G357"/>
  <c r="C357"/>
  <c r="L357"/>
  <c r="C498"/>
  <c r="E498"/>
  <c r="F498" s="1"/>
  <c r="G498"/>
  <c r="L498" s="1"/>
  <c r="C602"/>
  <c r="E602"/>
  <c r="F602" s="1"/>
  <c r="G602"/>
  <c r="L602" s="1"/>
  <c r="C706"/>
  <c r="G706"/>
  <c r="C810"/>
  <c r="G810"/>
  <c r="G499"/>
  <c r="C499"/>
  <c r="L499"/>
  <c r="G603"/>
  <c r="C603"/>
  <c r="L603"/>
  <c r="C707"/>
  <c r="G707"/>
  <c r="L707" s="1"/>
  <c r="C811"/>
  <c r="G811"/>
  <c r="L811" s="1"/>
  <c r="G500"/>
  <c r="C500"/>
  <c r="L500"/>
  <c r="G604"/>
  <c r="L604" s="1"/>
  <c r="C604"/>
  <c r="C708"/>
  <c r="G708"/>
  <c r="L708" s="1"/>
  <c r="C812"/>
  <c r="G812"/>
  <c r="L812" s="1"/>
  <c r="G501"/>
  <c r="C501"/>
  <c r="L501"/>
  <c r="G605"/>
  <c r="C605"/>
  <c r="L605"/>
  <c r="C709"/>
  <c r="G709"/>
  <c r="L709" s="1"/>
  <c r="C813"/>
  <c r="G813"/>
  <c r="L813" s="1"/>
  <c r="G502"/>
  <c r="C502"/>
  <c r="L502"/>
  <c r="G606"/>
  <c r="C606"/>
  <c r="L606"/>
  <c r="C710"/>
  <c r="G710"/>
  <c r="L710" s="1"/>
  <c r="C814"/>
  <c r="G814"/>
  <c r="L814" s="1"/>
  <c r="G503"/>
  <c r="C503"/>
  <c r="L503"/>
  <c r="G607"/>
  <c r="C607"/>
  <c r="L607"/>
  <c r="C711"/>
  <c r="G711"/>
  <c r="L711" s="1"/>
  <c r="C815"/>
  <c r="G815"/>
  <c r="L815" s="1"/>
  <c r="C108"/>
  <c r="G108"/>
  <c r="L108" s="1"/>
  <c r="C212"/>
  <c r="G212"/>
  <c r="L212" s="1"/>
  <c r="C316"/>
  <c r="G316"/>
  <c r="L316" s="1"/>
  <c r="G420"/>
  <c r="L420" s="1"/>
  <c r="C420"/>
  <c r="E109"/>
  <c r="C109"/>
  <c r="G109"/>
  <c r="L109" s="1"/>
  <c r="E213"/>
  <c r="C213"/>
  <c r="G213"/>
  <c r="L213" s="1"/>
  <c r="E317"/>
  <c r="C317"/>
  <c r="G317"/>
  <c r="L317" s="1"/>
  <c r="C421"/>
  <c r="G421"/>
  <c r="L421" s="1"/>
  <c r="E110"/>
  <c r="C110"/>
  <c r="G110"/>
  <c r="L110" s="1"/>
  <c r="E214"/>
  <c r="C214"/>
  <c r="G214"/>
  <c r="L214" s="1"/>
  <c r="E318"/>
  <c r="C318"/>
  <c r="G318"/>
  <c r="L318" s="1"/>
  <c r="C422"/>
  <c r="G422"/>
  <c r="L422" s="1"/>
  <c r="E111"/>
  <c r="C111"/>
  <c r="G111"/>
  <c r="L111" s="1"/>
  <c r="E215"/>
  <c r="C215"/>
  <c r="G215"/>
  <c r="L215" s="1"/>
  <c r="E319"/>
  <c r="C319"/>
  <c r="G319"/>
  <c r="L319" s="1"/>
  <c r="C423"/>
  <c r="G423"/>
  <c r="L423" s="1"/>
  <c r="E112"/>
  <c r="C112"/>
  <c r="G112"/>
  <c r="L112" s="1"/>
  <c r="E216"/>
  <c r="C216"/>
  <c r="G216"/>
  <c r="L216" s="1"/>
  <c r="E320"/>
  <c r="C320"/>
  <c r="G320"/>
  <c r="L320" s="1"/>
  <c r="C424"/>
  <c r="G424"/>
  <c r="L424" s="1"/>
  <c r="E113"/>
  <c r="C113"/>
  <c r="G113"/>
  <c r="L113" s="1"/>
  <c r="E217"/>
  <c r="C217"/>
  <c r="G217"/>
  <c r="L217" s="1"/>
  <c r="E321"/>
  <c r="C321"/>
  <c r="G321"/>
  <c r="L321" s="1"/>
  <c r="C425"/>
  <c r="G425"/>
  <c r="L425" s="1"/>
  <c r="C192"/>
  <c r="G192"/>
  <c r="L192" s="1"/>
  <c r="G400"/>
  <c r="C400"/>
  <c r="L400"/>
  <c r="G193"/>
  <c r="C193"/>
  <c r="L193"/>
  <c r="C401"/>
  <c r="G401"/>
  <c r="L401" s="1"/>
  <c r="C194"/>
  <c r="G194"/>
  <c r="L194" s="1"/>
  <c r="G402"/>
  <c r="C402"/>
  <c r="L402"/>
  <c r="G195"/>
  <c r="C195"/>
  <c r="L195"/>
  <c r="C403"/>
  <c r="G403"/>
  <c r="L403" s="1"/>
  <c r="C196"/>
  <c r="G196"/>
  <c r="L196" s="1"/>
  <c r="G404"/>
  <c r="C404"/>
  <c r="L404"/>
  <c r="G197"/>
  <c r="C197"/>
  <c r="L197"/>
  <c r="C405"/>
  <c r="G405"/>
  <c r="L405" s="1"/>
  <c r="C198"/>
  <c r="G198"/>
  <c r="L198" s="1"/>
  <c r="G406"/>
  <c r="C406"/>
  <c r="L406"/>
  <c r="G199"/>
  <c r="C199"/>
  <c r="L199"/>
  <c r="C407"/>
  <c r="G407"/>
  <c r="L407" s="1"/>
  <c r="C200"/>
  <c r="G200"/>
  <c r="L200" s="1"/>
  <c r="G408"/>
  <c r="C408"/>
  <c r="L408"/>
  <c r="G201"/>
  <c r="C201"/>
  <c r="L201"/>
  <c r="C409"/>
  <c r="G409"/>
  <c r="L409" s="1"/>
  <c r="E550"/>
  <c r="F550" s="1"/>
  <c r="C550"/>
  <c r="G550"/>
  <c r="C758"/>
  <c r="G758"/>
  <c r="C551"/>
  <c r="G551"/>
  <c r="G759"/>
  <c r="C759"/>
  <c r="L759"/>
  <c r="G552"/>
  <c r="C552"/>
  <c r="L552"/>
  <c r="C760"/>
  <c r="G760"/>
  <c r="G553"/>
  <c r="C553"/>
  <c r="L553"/>
  <c r="C761"/>
  <c r="G761"/>
  <c r="G554"/>
  <c r="C554"/>
  <c r="L554"/>
  <c r="C762"/>
  <c r="G762"/>
  <c r="G555"/>
  <c r="C555"/>
  <c r="L555"/>
  <c r="C763"/>
  <c r="G763"/>
  <c r="C478"/>
  <c r="G478"/>
  <c r="L478" s="1"/>
  <c r="C582"/>
  <c r="G582"/>
  <c r="L582" s="1"/>
  <c r="E686"/>
  <c r="C686"/>
  <c r="G686"/>
  <c r="L686" s="1"/>
  <c r="E790"/>
  <c r="C790"/>
  <c r="G790"/>
  <c r="L790" s="1"/>
  <c r="C479"/>
  <c r="G479"/>
  <c r="L479" s="1"/>
  <c r="C583"/>
  <c r="G583"/>
  <c r="L583" s="1"/>
  <c r="E687"/>
  <c r="C687"/>
  <c r="G687"/>
  <c r="L687" s="1"/>
  <c r="E791"/>
  <c r="C791"/>
  <c r="G791"/>
  <c r="L791" s="1"/>
  <c r="C480"/>
  <c r="G480"/>
  <c r="L480" s="1"/>
  <c r="C584"/>
  <c r="G584"/>
  <c r="L584" s="1"/>
  <c r="E688"/>
  <c r="C688"/>
  <c r="G688"/>
  <c r="L688" s="1"/>
  <c r="E792"/>
  <c r="C792"/>
  <c r="G792"/>
  <c r="L792" s="1"/>
  <c r="C481"/>
  <c r="G481"/>
  <c r="L481" s="1"/>
  <c r="C585"/>
  <c r="G585"/>
  <c r="L585" s="1"/>
  <c r="E689"/>
  <c r="C689"/>
  <c r="G689"/>
  <c r="L689" s="1"/>
  <c r="E793"/>
  <c r="C793"/>
  <c r="G793"/>
  <c r="L793" s="1"/>
  <c r="C482"/>
  <c r="G482"/>
  <c r="C586"/>
  <c r="G586"/>
  <c r="L586" s="1"/>
  <c r="E690"/>
  <c r="C690"/>
  <c r="G690"/>
  <c r="L690" s="1"/>
  <c r="E794"/>
  <c r="C794"/>
  <c r="G794"/>
  <c r="L794" s="1"/>
  <c r="C483"/>
  <c r="G483"/>
  <c r="C587"/>
  <c r="G587"/>
  <c r="L587" s="1"/>
  <c r="E691"/>
  <c r="C691"/>
  <c r="G691"/>
  <c r="L691" s="1"/>
  <c r="E795"/>
  <c r="C795"/>
  <c r="G795"/>
  <c r="L795" s="1"/>
  <c r="C484"/>
  <c r="G484"/>
  <c r="C588"/>
  <c r="G588"/>
  <c r="L588" s="1"/>
  <c r="E692"/>
  <c r="C692"/>
  <c r="G692"/>
  <c r="L692" s="1"/>
  <c r="E796"/>
  <c r="C796"/>
  <c r="G796"/>
  <c r="L796" s="1"/>
  <c r="C485"/>
  <c r="G485"/>
  <c r="C589"/>
  <c r="G589"/>
  <c r="L589" s="1"/>
  <c r="E693"/>
  <c r="C693"/>
  <c r="G693"/>
  <c r="L693" s="1"/>
  <c r="E797"/>
  <c r="C797"/>
  <c r="G797"/>
  <c r="L797" s="1"/>
  <c r="C486"/>
  <c r="G486"/>
  <c r="C590"/>
  <c r="G590"/>
  <c r="L590" s="1"/>
  <c r="E694"/>
  <c r="C694"/>
  <c r="G694"/>
  <c r="L694" s="1"/>
  <c r="E798"/>
  <c r="C798"/>
  <c r="G798"/>
  <c r="L798" s="1"/>
  <c r="C487"/>
  <c r="G487"/>
  <c r="C591"/>
  <c r="G591"/>
  <c r="L591" s="1"/>
  <c r="E695"/>
  <c r="C695"/>
  <c r="G695"/>
  <c r="L695" s="1"/>
  <c r="E799"/>
  <c r="C799"/>
  <c r="G799"/>
  <c r="L799" s="1"/>
  <c r="E114"/>
  <c r="C114"/>
  <c r="G114"/>
  <c r="L114" s="1"/>
  <c r="E322"/>
  <c r="C322"/>
  <c r="G322"/>
  <c r="L322" s="1"/>
  <c r="E115"/>
  <c r="C115"/>
  <c r="G115"/>
  <c r="L115" s="1"/>
  <c r="E323"/>
  <c r="C323"/>
  <c r="G323"/>
  <c r="L323" s="1"/>
  <c r="E116"/>
  <c r="C116"/>
  <c r="G116"/>
  <c r="L116" s="1"/>
  <c r="E324"/>
  <c r="C324"/>
  <c r="G324"/>
  <c r="L324" s="1"/>
  <c r="E117"/>
  <c r="C117"/>
  <c r="G117"/>
  <c r="L117" s="1"/>
  <c r="E325"/>
  <c r="C325"/>
  <c r="G325"/>
  <c r="L325" s="1"/>
  <c r="E118"/>
  <c r="C118"/>
  <c r="G118"/>
  <c r="L118" s="1"/>
  <c r="E326"/>
  <c r="C326"/>
  <c r="G326"/>
  <c r="L326" s="1"/>
  <c r="E119"/>
  <c r="C119"/>
  <c r="G119"/>
  <c r="L119" s="1"/>
  <c r="E327"/>
  <c r="C327"/>
  <c r="G327"/>
  <c r="L327" s="1"/>
  <c r="E120"/>
  <c r="C120"/>
  <c r="G120"/>
  <c r="L120" s="1"/>
  <c r="E328"/>
  <c r="C328"/>
  <c r="G328"/>
  <c r="L328" s="1"/>
  <c r="E121"/>
  <c r="C121"/>
  <c r="G121"/>
  <c r="L121" s="1"/>
  <c r="E329"/>
  <c r="C329"/>
  <c r="G329"/>
  <c r="L329" s="1"/>
  <c r="E122"/>
  <c r="C122"/>
  <c r="G122"/>
  <c r="L122" s="1"/>
  <c r="E330"/>
  <c r="C330"/>
  <c r="G330"/>
  <c r="L330" s="1"/>
  <c r="E123"/>
  <c r="C123"/>
  <c r="G123"/>
  <c r="L123"/>
  <c r="E331"/>
  <c r="C331"/>
  <c r="G331"/>
  <c r="L331" s="1"/>
  <c r="C472"/>
  <c r="G472"/>
  <c r="G680"/>
  <c r="C680"/>
  <c r="C473"/>
  <c r="G473"/>
  <c r="E681"/>
  <c r="C681"/>
  <c r="G681"/>
  <c r="C474"/>
  <c r="G474"/>
  <c r="L474" s="1"/>
  <c r="E682"/>
  <c r="C682"/>
  <c r="G682"/>
  <c r="L682" s="1"/>
  <c r="C475"/>
  <c r="G475"/>
  <c r="E683"/>
  <c r="C683"/>
  <c r="G683"/>
  <c r="C476"/>
  <c r="G476"/>
  <c r="L476" s="1"/>
  <c r="E684"/>
  <c r="C684"/>
  <c r="G684"/>
  <c r="L684" s="1"/>
  <c r="C477"/>
  <c r="G477"/>
  <c r="E685"/>
  <c r="C685"/>
  <c r="G685"/>
  <c r="G504"/>
  <c r="C504"/>
  <c r="L504"/>
  <c r="C608"/>
  <c r="G608"/>
  <c r="L608" s="1"/>
  <c r="G712"/>
  <c r="C712"/>
  <c r="L712"/>
  <c r="G816"/>
  <c r="C816"/>
  <c r="L816"/>
  <c r="C505"/>
  <c r="G505"/>
  <c r="G609"/>
  <c r="C609"/>
  <c r="L609"/>
  <c r="C713"/>
  <c r="G713"/>
  <c r="C817"/>
  <c r="G817"/>
  <c r="L817" s="1"/>
  <c r="G506"/>
  <c r="C506"/>
  <c r="L506"/>
  <c r="C610"/>
  <c r="G610"/>
  <c r="L610" s="1"/>
  <c r="G714"/>
  <c r="C714"/>
  <c r="L714"/>
  <c r="G818"/>
  <c r="C818"/>
  <c r="L818"/>
  <c r="C507"/>
  <c r="G507"/>
  <c r="G611"/>
  <c r="C611"/>
  <c r="L611"/>
  <c r="C715"/>
  <c r="G715"/>
  <c r="C819"/>
  <c r="G819"/>
  <c r="L819" s="1"/>
  <c r="G508"/>
  <c r="C508"/>
  <c r="L508"/>
  <c r="C612"/>
  <c r="G612"/>
  <c r="L612" s="1"/>
  <c r="G716"/>
  <c r="C716"/>
  <c r="L716"/>
  <c r="G820"/>
  <c r="C820"/>
  <c r="L820"/>
  <c r="C509"/>
  <c r="G509"/>
  <c r="G613"/>
  <c r="L613" s="1"/>
  <c r="C613"/>
  <c r="C717"/>
  <c r="G717"/>
  <c r="C821"/>
  <c r="G821"/>
  <c r="L821" s="1"/>
  <c r="G510"/>
  <c r="C510"/>
  <c r="L510"/>
  <c r="C614"/>
  <c r="G614"/>
  <c r="L614" s="1"/>
  <c r="G718"/>
  <c r="C718"/>
  <c r="L718"/>
  <c r="G822"/>
  <c r="C822"/>
  <c r="L822"/>
  <c r="C511"/>
  <c r="G511"/>
  <c r="G615"/>
  <c r="C615"/>
  <c r="L615"/>
  <c r="C719"/>
  <c r="G719"/>
  <c r="C823"/>
  <c r="G823"/>
  <c r="L823" s="1"/>
  <c r="G512"/>
  <c r="L512" s="1"/>
  <c r="C512"/>
  <c r="C616"/>
  <c r="G616"/>
  <c r="L616" s="1"/>
  <c r="G720"/>
  <c r="L720" s="1"/>
  <c r="C720"/>
  <c r="G824"/>
  <c r="C824"/>
  <c r="L824"/>
  <c r="C513"/>
  <c r="G513"/>
  <c r="G617"/>
  <c r="C617"/>
  <c r="L617"/>
  <c r="C721"/>
  <c r="G721"/>
  <c r="C825"/>
  <c r="G825"/>
  <c r="L825" s="1"/>
  <c r="I128" i="5"/>
  <c r="I56"/>
  <c r="I200"/>
  <c r="I107"/>
  <c r="I251"/>
  <c r="I467"/>
  <c r="I395"/>
  <c r="I539"/>
  <c r="I35"/>
  <c r="I323"/>
  <c r="I179"/>
  <c r="I106"/>
  <c r="I250"/>
  <c r="I466"/>
  <c r="I322"/>
  <c r="I178"/>
  <c r="I538"/>
  <c r="I34"/>
  <c r="I394"/>
  <c r="I105"/>
  <c r="I249"/>
  <c r="I465"/>
  <c r="I33"/>
  <c r="I393"/>
  <c r="I321"/>
  <c r="I177"/>
  <c r="I537"/>
  <c r="I104"/>
  <c r="I248"/>
  <c r="I464"/>
  <c r="I320"/>
  <c r="I32"/>
  <c r="I392"/>
  <c r="I176"/>
  <c r="I536"/>
  <c r="I103"/>
  <c r="I247"/>
  <c r="I463"/>
  <c r="I31"/>
  <c r="I391"/>
  <c r="I535"/>
  <c r="I319"/>
  <c r="I175"/>
  <c r="I30"/>
  <c r="I102"/>
  <c r="I246"/>
  <c r="I462"/>
  <c r="I318"/>
  <c r="I174"/>
  <c r="I534"/>
  <c r="I390"/>
  <c r="I29"/>
  <c r="I389"/>
  <c r="I101"/>
  <c r="I245"/>
  <c r="I461"/>
  <c r="I533"/>
  <c r="I317"/>
  <c r="I173"/>
  <c r="I28"/>
  <c r="I388"/>
  <c r="I316"/>
  <c r="I460"/>
  <c r="I100"/>
  <c r="I244"/>
  <c r="I172"/>
  <c r="I532"/>
  <c r="I99"/>
  <c r="I243"/>
  <c r="I387"/>
  <c r="I315"/>
  <c r="I531"/>
  <c r="I27"/>
  <c r="I459"/>
  <c r="I171"/>
  <c r="I26"/>
  <c r="I458"/>
  <c r="I98"/>
  <c r="I242"/>
  <c r="I386"/>
  <c r="I314"/>
  <c r="I170"/>
  <c r="I530"/>
  <c r="I97"/>
  <c r="I241"/>
  <c r="I385"/>
  <c r="I313"/>
  <c r="I25"/>
  <c r="I457"/>
  <c r="I169"/>
  <c r="I529"/>
  <c r="I24"/>
  <c r="I456"/>
  <c r="I96"/>
  <c r="I240"/>
  <c r="I384"/>
  <c r="I312"/>
  <c r="I168"/>
  <c r="I528"/>
  <c r="I23"/>
  <c r="I383"/>
  <c r="I311"/>
  <c r="I527"/>
  <c r="I95"/>
  <c r="I239"/>
  <c r="I455"/>
  <c r="I167"/>
  <c r="I130"/>
  <c r="I346"/>
  <c r="I490"/>
  <c r="I202"/>
  <c r="I562"/>
  <c r="I274"/>
  <c r="I58"/>
  <c r="I93"/>
  <c r="I237"/>
  <c r="I165"/>
  <c r="I525"/>
  <c r="I381"/>
  <c r="I309"/>
  <c r="I21"/>
  <c r="I453"/>
  <c r="D22"/>
  <c r="D61"/>
  <c r="D65"/>
  <c r="D69"/>
  <c r="D94"/>
  <c r="D203"/>
  <c r="D207"/>
  <c r="D211"/>
  <c r="D215"/>
  <c r="D489"/>
  <c r="D565"/>
  <c r="D569"/>
  <c r="D573"/>
  <c r="D422"/>
  <c r="D428"/>
  <c r="D348"/>
  <c r="D355"/>
  <c r="D359"/>
  <c r="D423"/>
  <c r="D59"/>
  <c r="D133"/>
  <c r="D137"/>
  <c r="D141"/>
  <c r="D166"/>
  <c r="D491"/>
  <c r="D495"/>
  <c r="D499"/>
  <c r="D503"/>
  <c r="D561"/>
  <c r="D281"/>
  <c r="D285"/>
  <c r="D347"/>
  <c r="D273"/>
  <c r="D280"/>
  <c r="D20"/>
  <c r="D62"/>
  <c r="D66"/>
  <c r="D70"/>
  <c r="D204"/>
  <c r="D208"/>
  <c r="D212"/>
  <c r="D236"/>
  <c r="D566"/>
  <c r="D570"/>
  <c r="D574"/>
  <c r="D425"/>
  <c r="D429"/>
  <c r="D350"/>
  <c r="D356"/>
  <c r="D382"/>
  <c r="D421"/>
  <c r="D132"/>
  <c r="D136"/>
  <c r="D140"/>
  <c r="D164"/>
  <c r="D494"/>
  <c r="D498"/>
  <c r="D502"/>
  <c r="D278"/>
  <c r="D284"/>
  <c r="D310"/>
  <c r="D349"/>
  <c r="D380"/>
  <c r="D275"/>
  <c r="D308"/>
  <c r="D63"/>
  <c r="D67"/>
  <c r="D71"/>
  <c r="D205"/>
  <c r="D213"/>
  <c r="D238"/>
  <c r="D567"/>
  <c r="D575"/>
  <c r="D430"/>
  <c r="D357"/>
  <c r="D419"/>
  <c r="D131"/>
  <c r="D139"/>
  <c r="D201"/>
  <c r="D497"/>
  <c r="D526"/>
  <c r="D276"/>
  <c r="D287"/>
  <c r="D277"/>
  <c r="D60"/>
  <c r="D68"/>
  <c r="D206"/>
  <c r="D210"/>
  <c r="D564"/>
  <c r="D572"/>
  <c r="D427"/>
  <c r="D354"/>
  <c r="D417"/>
  <c r="D134"/>
  <c r="D142"/>
  <c r="D496"/>
  <c r="D524"/>
  <c r="D282"/>
  <c r="D345"/>
  <c r="D454"/>
  <c r="D57"/>
  <c r="D129"/>
  <c r="D209"/>
  <c r="D563"/>
  <c r="D571"/>
  <c r="D426"/>
  <c r="D353"/>
  <c r="D452"/>
  <c r="D135"/>
  <c r="D143"/>
  <c r="D493"/>
  <c r="D501"/>
  <c r="D283"/>
  <c r="D351"/>
  <c r="D418"/>
  <c r="I418" s="1"/>
  <c r="D64"/>
  <c r="D92"/>
  <c r="D214"/>
  <c r="D568"/>
  <c r="D420"/>
  <c r="D431"/>
  <c r="D358"/>
  <c r="D424"/>
  <c r="D138"/>
  <c r="D492"/>
  <c r="D500"/>
  <c r="D286"/>
  <c r="D352"/>
  <c r="D279"/>
  <c r="I380"/>
  <c r="I308"/>
  <c r="I524"/>
  <c r="I452"/>
  <c r="U62" l="1"/>
  <c r="L762" i="6"/>
  <c r="W762"/>
  <c r="AC762" s="1"/>
  <c r="W814"/>
  <c r="AC814" s="1"/>
  <c r="W554"/>
  <c r="AC554" s="1"/>
  <c r="W606"/>
  <c r="AC606" s="1"/>
  <c r="L760"/>
  <c r="W760"/>
  <c r="AC760" s="1"/>
  <c r="W812"/>
  <c r="AC812" s="1"/>
  <c r="W552"/>
  <c r="AC552" s="1"/>
  <c r="W604"/>
  <c r="AC604" s="1"/>
  <c r="L551"/>
  <c r="M551" s="1"/>
  <c r="N551" s="1"/>
  <c r="P551" s="1"/>
  <c r="O551" s="1"/>
  <c r="K551" s="1"/>
  <c r="H551" s="1"/>
  <c r="W551"/>
  <c r="AC551" s="1"/>
  <c r="W603"/>
  <c r="AC603" s="1"/>
  <c r="L758"/>
  <c r="W810"/>
  <c r="AC810" s="1"/>
  <c r="W758"/>
  <c r="AC758" s="1"/>
  <c r="L550"/>
  <c r="M550" s="1"/>
  <c r="N550" s="1"/>
  <c r="P550" s="1"/>
  <c r="O550" s="1"/>
  <c r="K550" s="1"/>
  <c r="H550" s="1"/>
  <c r="W550"/>
  <c r="AC550" s="1"/>
  <c r="W602"/>
  <c r="AC602" s="1"/>
  <c r="W305"/>
  <c r="AC305" s="1"/>
  <c r="W253"/>
  <c r="L45"/>
  <c r="W97"/>
  <c r="AC97" s="1"/>
  <c r="W45"/>
  <c r="W356"/>
  <c r="W408"/>
  <c r="L148"/>
  <c r="W148"/>
  <c r="AC148" s="1"/>
  <c r="W200"/>
  <c r="AC200" s="1"/>
  <c r="W303"/>
  <c r="W251"/>
  <c r="L43"/>
  <c r="W95"/>
  <c r="AC95" s="1"/>
  <c r="W43"/>
  <c r="L354"/>
  <c r="W406"/>
  <c r="W354"/>
  <c r="L250"/>
  <c r="W250"/>
  <c r="W302"/>
  <c r="AC302" s="1"/>
  <c r="L146"/>
  <c r="W146"/>
  <c r="AC146" s="1"/>
  <c r="W198"/>
  <c r="AC198" s="1"/>
  <c r="W94"/>
  <c r="AC94" s="1"/>
  <c r="W42"/>
  <c r="W301"/>
  <c r="AC301" s="1"/>
  <c r="W249"/>
  <c r="L41"/>
  <c r="W93"/>
  <c r="AC93" s="1"/>
  <c r="W41"/>
  <c r="L352"/>
  <c r="W352"/>
  <c r="W404"/>
  <c r="L248"/>
  <c r="W300"/>
  <c r="AC300" s="1"/>
  <c r="W248"/>
  <c r="L144"/>
  <c r="W144"/>
  <c r="AC144" s="1"/>
  <c r="W196"/>
  <c r="AC196" s="1"/>
  <c r="W40"/>
  <c r="W92"/>
  <c r="AC92" s="1"/>
  <c r="L143"/>
  <c r="W195"/>
  <c r="AC195" s="1"/>
  <c r="W143"/>
  <c r="AC143" s="1"/>
  <c r="L39"/>
  <c r="W91"/>
  <c r="AC91" s="1"/>
  <c r="W39"/>
  <c r="W350"/>
  <c r="W402"/>
  <c r="W90"/>
  <c r="AC90" s="1"/>
  <c r="W38"/>
  <c r="L141"/>
  <c r="W193"/>
  <c r="AC193" s="1"/>
  <c r="W141"/>
  <c r="AC141" s="1"/>
  <c r="L37"/>
  <c r="W89"/>
  <c r="AC89" s="1"/>
  <c r="W37"/>
  <c r="W400"/>
  <c r="W348"/>
  <c r="W36"/>
  <c r="W88"/>
  <c r="AC88" s="1"/>
  <c r="L139"/>
  <c r="W191"/>
  <c r="AC191" s="1"/>
  <c r="W139"/>
  <c r="AC139" s="1"/>
  <c r="L35"/>
  <c r="W87"/>
  <c r="AC87" s="1"/>
  <c r="W35"/>
  <c r="W461"/>
  <c r="AC461" s="1"/>
  <c r="W513"/>
  <c r="AC513" s="1"/>
  <c r="W460"/>
  <c r="AC460" s="1"/>
  <c r="W512"/>
  <c r="AC512" s="1"/>
  <c r="W511"/>
  <c r="AC511" s="1"/>
  <c r="W459"/>
  <c r="AC459" s="1"/>
  <c r="W666"/>
  <c r="AC666" s="1"/>
  <c r="W718"/>
  <c r="AC718" s="1"/>
  <c r="W509"/>
  <c r="AC509" s="1"/>
  <c r="W457"/>
  <c r="AC457" s="1"/>
  <c r="W664"/>
  <c r="AC664" s="1"/>
  <c r="W716"/>
  <c r="AC716" s="1"/>
  <c r="L559"/>
  <c r="W611"/>
  <c r="AC611" s="1"/>
  <c r="W559"/>
  <c r="AC559" s="1"/>
  <c r="W818"/>
  <c r="AC818" s="1"/>
  <c r="W766"/>
  <c r="AC766" s="1"/>
  <c r="L558"/>
  <c r="W558"/>
  <c r="AC558" s="1"/>
  <c r="W610"/>
  <c r="AC610" s="1"/>
  <c r="W506"/>
  <c r="AC506" s="1"/>
  <c r="W454"/>
  <c r="AC454" s="1"/>
  <c r="L765"/>
  <c r="W817"/>
  <c r="AC817" s="1"/>
  <c r="W765"/>
  <c r="AC765" s="1"/>
  <c r="W713"/>
  <c r="AC713" s="1"/>
  <c r="W661"/>
  <c r="AC661" s="1"/>
  <c r="W609"/>
  <c r="AC609" s="1"/>
  <c r="W557"/>
  <c r="AC557" s="1"/>
  <c r="W764"/>
  <c r="AC764" s="1"/>
  <c r="W816"/>
  <c r="AC816" s="1"/>
  <c r="L556"/>
  <c r="W556"/>
  <c r="AC556" s="1"/>
  <c r="W608"/>
  <c r="AC608" s="1"/>
  <c r="W452"/>
  <c r="AC452" s="1"/>
  <c r="W504"/>
  <c r="AC504" s="1"/>
  <c r="L659"/>
  <c r="W711"/>
  <c r="AC711" s="1"/>
  <c r="W659"/>
  <c r="AC659" s="1"/>
  <c r="W503"/>
  <c r="AC503" s="1"/>
  <c r="W451"/>
  <c r="AC451" s="1"/>
  <c r="L657"/>
  <c r="W657"/>
  <c r="AC657" s="1"/>
  <c r="W709"/>
  <c r="AC709" s="1"/>
  <c r="W501"/>
  <c r="AC501" s="1"/>
  <c r="W449"/>
  <c r="AC449" s="1"/>
  <c r="W655"/>
  <c r="AC655" s="1"/>
  <c r="W707"/>
  <c r="AC707" s="1"/>
  <c r="W498"/>
  <c r="AC498" s="1"/>
  <c r="W446"/>
  <c r="AC446" s="1"/>
  <c r="L346"/>
  <c r="W346"/>
  <c r="W398"/>
  <c r="W242"/>
  <c r="W294"/>
  <c r="L137"/>
  <c r="W137"/>
  <c r="AC137" s="1"/>
  <c r="W189"/>
  <c r="AC189" s="1"/>
  <c r="W33"/>
  <c r="W85"/>
  <c r="AC85" s="1"/>
  <c r="L344"/>
  <c r="W344"/>
  <c r="W396"/>
  <c r="W240"/>
  <c r="W292"/>
  <c r="AC292" s="1"/>
  <c r="W239"/>
  <c r="W291"/>
  <c r="AC291" s="1"/>
  <c r="W135"/>
  <c r="AC135" s="1"/>
  <c r="W187"/>
  <c r="AC187" s="1"/>
  <c r="W342"/>
  <c r="W394"/>
  <c r="W134"/>
  <c r="AC134" s="1"/>
  <c r="W186"/>
  <c r="AC186" s="1"/>
  <c r="L763"/>
  <c r="W815"/>
  <c r="AC815" s="1"/>
  <c r="W763"/>
  <c r="AC763" s="1"/>
  <c r="W607"/>
  <c r="AC607" s="1"/>
  <c r="W555"/>
  <c r="AC555" s="1"/>
  <c r="L761"/>
  <c r="W813"/>
  <c r="AC813" s="1"/>
  <c r="W761"/>
  <c r="AC761" s="1"/>
  <c r="W553"/>
  <c r="AC553" s="1"/>
  <c r="W605"/>
  <c r="AC605" s="1"/>
  <c r="W811"/>
  <c r="AC811" s="1"/>
  <c r="W759"/>
  <c r="AC759" s="1"/>
  <c r="W409"/>
  <c r="W357"/>
  <c r="W149"/>
  <c r="AC149" s="1"/>
  <c r="W201"/>
  <c r="AC201" s="1"/>
  <c r="W252"/>
  <c r="W304"/>
  <c r="L44"/>
  <c r="W44"/>
  <c r="W96"/>
  <c r="AC96" s="1"/>
  <c r="W407"/>
  <c r="W355"/>
  <c r="W147"/>
  <c r="AC147" s="1"/>
  <c r="W199"/>
  <c r="AC199" s="1"/>
  <c r="W405"/>
  <c r="W353"/>
  <c r="W197"/>
  <c r="AC197" s="1"/>
  <c r="W145"/>
  <c r="AC145" s="1"/>
  <c r="L351"/>
  <c r="W403"/>
  <c r="W351"/>
  <c r="W247"/>
  <c r="W299"/>
  <c r="L246"/>
  <c r="W298"/>
  <c r="AC298" s="1"/>
  <c r="W246"/>
  <c r="W142"/>
  <c r="AC142" s="1"/>
  <c r="W194"/>
  <c r="AC194" s="1"/>
  <c r="L349"/>
  <c r="W401"/>
  <c r="W349"/>
  <c r="W297"/>
  <c r="AC297" s="1"/>
  <c r="W245"/>
  <c r="L244"/>
  <c r="W244"/>
  <c r="W296"/>
  <c r="AC296" s="1"/>
  <c r="W140"/>
  <c r="AC140" s="1"/>
  <c r="W192"/>
  <c r="AC192" s="1"/>
  <c r="L347"/>
  <c r="W399"/>
  <c r="W347"/>
  <c r="W295"/>
  <c r="W243"/>
  <c r="L773"/>
  <c r="W773"/>
  <c r="AC773" s="1"/>
  <c r="W825"/>
  <c r="AC825" s="1"/>
  <c r="W721"/>
  <c r="AC721" s="1"/>
  <c r="W669"/>
  <c r="AC669" s="1"/>
  <c r="W565"/>
  <c r="AC565" s="1"/>
  <c r="W617"/>
  <c r="AC617" s="1"/>
  <c r="L772"/>
  <c r="W772"/>
  <c r="AC772" s="1"/>
  <c r="W824"/>
  <c r="AC824" s="1"/>
  <c r="W668"/>
  <c r="AC668" s="1"/>
  <c r="W720"/>
  <c r="AC720" s="1"/>
  <c r="W564"/>
  <c r="AC564" s="1"/>
  <c r="W616"/>
  <c r="AC616" s="1"/>
  <c r="L771"/>
  <c r="W823"/>
  <c r="AC823" s="1"/>
  <c r="W771"/>
  <c r="AC771" s="1"/>
  <c r="W719"/>
  <c r="AC719" s="1"/>
  <c r="W667"/>
  <c r="AC667" s="1"/>
  <c r="W563"/>
  <c r="AC563" s="1"/>
  <c r="W615"/>
  <c r="AC615" s="1"/>
  <c r="W822"/>
  <c r="AC822" s="1"/>
  <c r="W770"/>
  <c r="AC770" s="1"/>
  <c r="L562"/>
  <c r="W614"/>
  <c r="AC614" s="1"/>
  <c r="W562"/>
  <c r="AC562" s="1"/>
  <c r="W510"/>
  <c r="AC510" s="1"/>
  <c r="W458"/>
  <c r="AC458" s="1"/>
  <c r="L769"/>
  <c r="W821"/>
  <c r="AC821" s="1"/>
  <c r="W769"/>
  <c r="AC769" s="1"/>
  <c r="W717"/>
  <c r="AC717" s="1"/>
  <c r="W665"/>
  <c r="AC665" s="1"/>
  <c r="W561"/>
  <c r="AC561" s="1"/>
  <c r="W613"/>
  <c r="AC613" s="1"/>
  <c r="W768"/>
  <c r="AC768" s="1"/>
  <c r="W820"/>
  <c r="AC820" s="1"/>
  <c r="L560"/>
  <c r="W560"/>
  <c r="AC560" s="1"/>
  <c r="W612"/>
  <c r="AC612" s="1"/>
  <c r="W508"/>
  <c r="AC508" s="1"/>
  <c r="W456"/>
  <c r="AC456" s="1"/>
  <c r="L767"/>
  <c r="W767"/>
  <c r="AC767" s="1"/>
  <c r="W819"/>
  <c r="AC819" s="1"/>
  <c r="W715"/>
  <c r="AC715" s="1"/>
  <c r="W663"/>
  <c r="AC663" s="1"/>
  <c r="W455"/>
  <c r="AC455" s="1"/>
  <c r="W507"/>
  <c r="AC507" s="1"/>
  <c r="W662"/>
  <c r="AC662" s="1"/>
  <c r="W714"/>
  <c r="AC714" s="1"/>
  <c r="W505"/>
  <c r="AC505" s="1"/>
  <c r="W453"/>
  <c r="AC453" s="1"/>
  <c r="W660"/>
  <c r="AC660" s="1"/>
  <c r="W712"/>
  <c r="AC712" s="1"/>
  <c r="L658"/>
  <c r="W658"/>
  <c r="AC658" s="1"/>
  <c r="W710"/>
  <c r="AC710" s="1"/>
  <c r="W502"/>
  <c r="AC502" s="1"/>
  <c r="W450"/>
  <c r="AC450" s="1"/>
  <c r="L656"/>
  <c r="W656"/>
  <c r="AC656" s="1"/>
  <c r="W708"/>
  <c r="AC708" s="1"/>
  <c r="W500"/>
  <c r="AC500" s="1"/>
  <c r="W448"/>
  <c r="AC448" s="1"/>
  <c r="W499"/>
  <c r="AC499" s="1"/>
  <c r="W447"/>
  <c r="AC447" s="1"/>
  <c r="W706"/>
  <c r="AC706" s="1"/>
  <c r="W654"/>
  <c r="AC654" s="1"/>
  <c r="L138"/>
  <c r="W138"/>
  <c r="AC138" s="1"/>
  <c r="W190"/>
  <c r="AC190" s="1"/>
  <c r="W34"/>
  <c r="W86"/>
  <c r="AC86" s="1"/>
  <c r="L345"/>
  <c r="W345"/>
  <c r="W397"/>
  <c r="W241"/>
  <c r="W293"/>
  <c r="L136"/>
  <c r="W136"/>
  <c r="AC136" s="1"/>
  <c r="W188"/>
  <c r="AC188" s="1"/>
  <c r="W32"/>
  <c r="W84"/>
  <c r="AC84" s="1"/>
  <c r="W343"/>
  <c r="W395"/>
  <c r="W83"/>
  <c r="AC83" s="1"/>
  <c r="W31"/>
  <c r="L238"/>
  <c r="W238"/>
  <c r="W290"/>
  <c r="AC290" s="1"/>
  <c r="W30"/>
  <c r="W82"/>
  <c r="AC82" s="1"/>
  <c r="U86" s="1"/>
  <c r="S179" i="5"/>
  <c r="S177"/>
  <c r="S175"/>
  <c r="S173"/>
  <c r="U170"/>
  <c r="S171"/>
  <c r="U566"/>
  <c r="S169"/>
  <c r="S167"/>
  <c r="S58"/>
  <c r="S130"/>
  <c r="S21"/>
  <c r="S237"/>
  <c r="S93"/>
  <c r="T130"/>
  <c r="T58"/>
  <c r="T346"/>
  <c r="T345" s="1"/>
  <c r="T418"/>
  <c r="T417" s="1"/>
  <c r="T202"/>
  <c r="T274"/>
  <c r="T562"/>
  <c r="T561" s="1"/>
  <c r="T490"/>
  <c r="T489" s="1"/>
  <c r="T94"/>
  <c r="T454"/>
  <c r="T453" s="1"/>
  <c r="T526"/>
  <c r="T525" s="1"/>
  <c r="T310"/>
  <c r="T309" s="1"/>
  <c r="T382"/>
  <c r="T381" s="1"/>
  <c r="T166"/>
  <c r="T238"/>
  <c r="T22"/>
  <c r="S362"/>
  <c r="Y362"/>
  <c r="V362" s="1"/>
  <c r="S520"/>
  <c r="Y520"/>
  <c r="V520" s="1"/>
  <c r="S512"/>
  <c r="Y512"/>
  <c r="V512" s="1"/>
  <c r="S518"/>
  <c r="Y518"/>
  <c r="V518" s="1"/>
  <c r="S151"/>
  <c r="Y151"/>
  <c r="V151" s="1"/>
  <c r="S250"/>
  <c r="Y250"/>
  <c r="V250" s="1"/>
  <c r="T268" s="1"/>
  <c r="U268" s="1"/>
  <c r="S248"/>
  <c r="Y248"/>
  <c r="V248" s="1"/>
  <c r="T266" s="1"/>
  <c r="U266" s="1"/>
  <c r="S246"/>
  <c r="Y246"/>
  <c r="V246" s="1"/>
  <c r="T264" s="1"/>
  <c r="U264" s="1"/>
  <c r="S244"/>
  <c r="Y244"/>
  <c r="V244" s="1"/>
  <c r="T262" s="1"/>
  <c r="U262" s="1"/>
  <c r="S242"/>
  <c r="Y242"/>
  <c r="V242" s="1"/>
  <c r="T260" s="1"/>
  <c r="U260" s="1"/>
  <c r="S240"/>
  <c r="Y240"/>
  <c r="V240" s="1"/>
  <c r="T258" s="1"/>
  <c r="U258" s="1"/>
  <c r="S106"/>
  <c r="Y106"/>
  <c r="V106" s="1"/>
  <c r="T124" s="1"/>
  <c r="U124" s="1"/>
  <c r="S104"/>
  <c r="Y104"/>
  <c r="V104" s="1"/>
  <c r="T122" s="1"/>
  <c r="U122" s="1"/>
  <c r="S102"/>
  <c r="Y102"/>
  <c r="V102" s="1"/>
  <c r="T120" s="1"/>
  <c r="U120" s="1"/>
  <c r="S100"/>
  <c r="Y100"/>
  <c r="V100" s="1"/>
  <c r="T118" s="1"/>
  <c r="U118" s="1"/>
  <c r="S98"/>
  <c r="Y98"/>
  <c r="V98" s="1"/>
  <c r="T116" s="1"/>
  <c r="U116" s="1"/>
  <c r="S96"/>
  <c r="Y96"/>
  <c r="V96" s="1"/>
  <c r="T114" s="1"/>
  <c r="U114" s="1"/>
  <c r="S232"/>
  <c r="U206" s="1"/>
  <c r="Y232"/>
  <c r="V232" s="1"/>
  <c r="S516"/>
  <c r="Y516"/>
  <c r="V516" s="1"/>
  <c r="S159"/>
  <c r="Y159"/>
  <c r="V159" s="1"/>
  <c r="S514"/>
  <c r="Y514"/>
  <c r="V514" s="1"/>
  <c r="M568" i="6"/>
  <c r="N568" s="1"/>
  <c r="P568" s="1"/>
  <c r="O568" s="1"/>
  <c r="K568"/>
  <c r="H568" s="1"/>
  <c r="S200" i="5"/>
  <c r="Y200"/>
  <c r="V200" s="1"/>
  <c r="S34"/>
  <c r="Y34"/>
  <c r="V34" s="1"/>
  <c r="T52" s="1"/>
  <c r="U52" s="1"/>
  <c r="S32"/>
  <c r="Y32"/>
  <c r="V32" s="1"/>
  <c r="T50" s="1"/>
  <c r="U50" s="1"/>
  <c r="S30"/>
  <c r="Y30"/>
  <c r="V30" s="1"/>
  <c r="T48" s="1"/>
  <c r="U48" s="1"/>
  <c r="S28"/>
  <c r="Y28"/>
  <c r="V28" s="1"/>
  <c r="T46" s="1"/>
  <c r="U46" s="1"/>
  <c r="S26"/>
  <c r="Y26"/>
  <c r="V26" s="1"/>
  <c r="T44" s="1"/>
  <c r="U44" s="1"/>
  <c r="S24"/>
  <c r="Y24"/>
  <c r="V24" s="1"/>
  <c r="T42" s="1"/>
  <c r="U42" s="1"/>
  <c r="AB781" i="6"/>
  <c r="S859"/>
  <c r="V859" s="1"/>
  <c r="S292" i="5"/>
  <c r="Y292"/>
  <c r="V292" s="1"/>
  <c r="S149"/>
  <c r="Y149"/>
  <c r="V149" s="1"/>
  <c r="S515"/>
  <c r="Y515"/>
  <c r="V515" s="1"/>
  <c r="AB777" i="6"/>
  <c r="S855"/>
  <c r="V855" s="1"/>
  <c r="S161" i="5"/>
  <c r="Y161"/>
  <c r="V161" s="1"/>
  <c r="S521"/>
  <c r="Y521"/>
  <c r="V521" s="1"/>
  <c r="S513"/>
  <c r="Y513"/>
  <c r="V513" s="1"/>
  <c r="S376"/>
  <c r="Y376"/>
  <c r="V376" s="1"/>
  <c r="S372"/>
  <c r="Y372"/>
  <c r="V372" s="1"/>
  <c r="S157"/>
  <c r="Y157"/>
  <c r="V157" s="1"/>
  <c r="S519"/>
  <c r="Y519"/>
  <c r="V519" s="1"/>
  <c r="S368"/>
  <c r="Y368"/>
  <c r="V368" s="1"/>
  <c r="S671" i="6"/>
  <c r="V671" s="1"/>
  <c r="Y671"/>
  <c r="S153" i="5"/>
  <c r="Y153"/>
  <c r="V153" s="1"/>
  <c r="S517"/>
  <c r="Y517"/>
  <c r="V517" s="1"/>
  <c r="K82" i="2"/>
  <c r="A84"/>
  <c r="K87"/>
  <c r="A90"/>
  <c r="K80"/>
  <c r="A81"/>
  <c r="M464" i="6"/>
  <c r="N464" s="1"/>
  <c r="P464" s="1"/>
  <c r="O464" s="1"/>
  <c r="K464"/>
  <c r="H464" s="1"/>
  <c r="U314" i="5"/>
  <c r="U242"/>
  <c r="K84" i="2"/>
  <c r="A86"/>
  <c r="K88"/>
  <c r="A91"/>
  <c r="K86"/>
  <c r="A89"/>
  <c r="U386" i="5"/>
  <c r="U350"/>
  <c r="F368" i="6"/>
  <c r="F56"/>
  <c r="E308" i="5"/>
  <c r="E326"/>
  <c r="E380"/>
  <c r="E398"/>
  <c r="E362"/>
  <c r="E344"/>
  <c r="E524"/>
  <c r="E542"/>
  <c r="E164"/>
  <c r="E182"/>
  <c r="E416"/>
  <c r="E434"/>
  <c r="E236"/>
  <c r="E254"/>
  <c r="E92"/>
  <c r="E110"/>
  <c r="E20"/>
  <c r="E38"/>
  <c r="E290"/>
  <c r="E272"/>
  <c r="E578"/>
  <c r="E560"/>
  <c r="E200"/>
  <c r="E218"/>
  <c r="E452"/>
  <c r="E470"/>
  <c r="E488"/>
  <c r="E506"/>
  <c r="E128"/>
  <c r="E146"/>
  <c r="E56"/>
  <c r="E74"/>
  <c r="M585" i="6"/>
  <c r="N585" s="1"/>
  <c r="P585" s="1"/>
  <c r="O585" s="1"/>
  <c r="K585" s="1"/>
  <c r="H585" s="1"/>
  <c r="M791"/>
  <c r="N791" s="1"/>
  <c r="P791" s="1"/>
  <c r="O791" s="1"/>
  <c r="K791" s="1"/>
  <c r="H791" s="1"/>
  <c r="M686"/>
  <c r="N686" s="1"/>
  <c r="P686" s="1"/>
  <c r="O686" s="1"/>
  <c r="K686" s="1"/>
  <c r="H686" s="1"/>
  <c r="M409"/>
  <c r="N409" s="1"/>
  <c r="P409" s="1"/>
  <c r="O409" s="1"/>
  <c r="K409" s="1"/>
  <c r="H409" s="1"/>
  <c r="M321"/>
  <c r="N321" s="1"/>
  <c r="P321" s="1"/>
  <c r="O321" s="1"/>
  <c r="K321" s="1"/>
  <c r="H321" s="1"/>
  <c r="M792"/>
  <c r="N792" s="1"/>
  <c r="P792" s="1"/>
  <c r="O792" s="1"/>
  <c r="K792" s="1"/>
  <c r="H792" s="1"/>
  <c r="M584"/>
  <c r="N584" s="1"/>
  <c r="P584" s="1"/>
  <c r="O584" s="1"/>
  <c r="K584" s="1"/>
  <c r="H584" s="1"/>
  <c r="M687"/>
  <c r="N687" s="1"/>
  <c r="P687" s="1"/>
  <c r="O687" s="1"/>
  <c r="K687" s="1"/>
  <c r="H687" s="1"/>
  <c r="M790"/>
  <c r="N790" s="1"/>
  <c r="P790" s="1"/>
  <c r="O790" s="1"/>
  <c r="K790" s="1"/>
  <c r="H790" s="1"/>
  <c r="M582"/>
  <c r="N582" s="1"/>
  <c r="P582" s="1"/>
  <c r="O582" s="1"/>
  <c r="K582" s="1"/>
  <c r="H582" s="1"/>
  <c r="M758"/>
  <c r="N758" s="1"/>
  <c r="P758" s="1"/>
  <c r="O758" s="1"/>
  <c r="K758" s="1"/>
  <c r="H758" s="1"/>
  <c r="Y758" s="1"/>
  <c r="M407"/>
  <c r="N407" s="1"/>
  <c r="P407" s="1"/>
  <c r="O407" s="1"/>
  <c r="K407" s="1"/>
  <c r="H407" s="1"/>
  <c r="M403"/>
  <c r="N403" s="1"/>
  <c r="P403" s="1"/>
  <c r="O403" s="1"/>
  <c r="K403" s="1"/>
  <c r="H403" s="1"/>
  <c r="M217"/>
  <c r="N217" s="1"/>
  <c r="P217" s="1"/>
  <c r="O217" s="1"/>
  <c r="K217" s="1"/>
  <c r="H217" s="1"/>
  <c r="M424"/>
  <c r="N424" s="1"/>
  <c r="P424" s="1"/>
  <c r="O424" s="1"/>
  <c r="K424" s="1"/>
  <c r="H424" s="1"/>
  <c r="M215"/>
  <c r="N215" s="1"/>
  <c r="P215" s="1"/>
  <c r="O215" s="1"/>
  <c r="K215" s="1"/>
  <c r="H215" s="1"/>
  <c r="M422"/>
  <c r="N422" s="1"/>
  <c r="P422" s="1"/>
  <c r="O422" s="1"/>
  <c r="K422" s="1"/>
  <c r="H422" s="1"/>
  <c r="M213"/>
  <c r="N213" s="1"/>
  <c r="P213" s="1"/>
  <c r="O213" s="1"/>
  <c r="K213" s="1"/>
  <c r="H213" s="1"/>
  <c r="M212"/>
  <c r="N212" s="1"/>
  <c r="P212" s="1"/>
  <c r="O212" s="1"/>
  <c r="K212" s="1"/>
  <c r="H212" s="1"/>
  <c r="M711"/>
  <c r="N711" s="1"/>
  <c r="P711" s="1"/>
  <c r="O711" s="1"/>
  <c r="K711" s="1"/>
  <c r="H711" s="1"/>
  <c r="M709"/>
  <c r="N709" s="1"/>
  <c r="P709" s="1"/>
  <c r="O709" s="1"/>
  <c r="K709" s="1"/>
  <c r="H709" s="1"/>
  <c r="M707"/>
  <c r="N707" s="1"/>
  <c r="P707" s="1"/>
  <c r="O707" s="1"/>
  <c r="K707" s="1"/>
  <c r="H707" s="1"/>
  <c r="M602"/>
  <c r="N602" s="1"/>
  <c r="P602" s="1"/>
  <c r="O602" s="1"/>
  <c r="K602" s="1"/>
  <c r="H602" s="1"/>
  <c r="M146"/>
  <c r="N146" s="1"/>
  <c r="P146" s="1"/>
  <c r="O146" s="1"/>
  <c r="K146" s="1"/>
  <c r="H146" s="1"/>
  <c r="M144"/>
  <c r="N144" s="1"/>
  <c r="P144" s="1"/>
  <c r="O144" s="1"/>
  <c r="K144" s="1"/>
  <c r="H144" s="1"/>
  <c r="M143"/>
  <c r="N143" s="1"/>
  <c r="P143" s="1"/>
  <c r="O143" s="1"/>
  <c r="K143" s="1"/>
  <c r="H143" s="1"/>
  <c r="M141"/>
  <c r="N141" s="1"/>
  <c r="P141" s="1"/>
  <c r="O141" s="1"/>
  <c r="K141" s="1"/>
  <c r="H141" s="1"/>
  <c r="M139"/>
  <c r="N139" s="1"/>
  <c r="P139" s="1"/>
  <c r="O139" s="1"/>
  <c r="K139" s="1"/>
  <c r="H139" s="1"/>
  <c r="M747"/>
  <c r="N747" s="1"/>
  <c r="P747" s="1"/>
  <c r="O747" s="1"/>
  <c r="K747" s="1"/>
  <c r="H747" s="1"/>
  <c r="M746"/>
  <c r="N746" s="1"/>
  <c r="P746" s="1"/>
  <c r="O746" s="1"/>
  <c r="K746" s="1"/>
  <c r="H746" s="1"/>
  <c r="M745"/>
  <c r="N745" s="1"/>
  <c r="P745" s="1"/>
  <c r="O745" s="1"/>
  <c r="K745" s="1"/>
  <c r="H745" s="1"/>
  <c r="M744"/>
  <c r="N744" s="1"/>
  <c r="P744" s="1"/>
  <c r="O744" s="1"/>
  <c r="K744" s="1"/>
  <c r="H744" s="1"/>
  <c r="M688"/>
  <c r="N688" s="1"/>
  <c r="P688" s="1"/>
  <c r="O688" s="1"/>
  <c r="K688" s="1"/>
  <c r="H688" s="1"/>
  <c r="M583"/>
  <c r="N583" s="1"/>
  <c r="P583" s="1"/>
  <c r="O583" s="1"/>
  <c r="K583" s="1"/>
  <c r="H583" s="1"/>
  <c r="M405"/>
  <c r="N405" s="1"/>
  <c r="P405" s="1"/>
  <c r="O405" s="1"/>
  <c r="K405" s="1"/>
  <c r="H405" s="1"/>
  <c r="M401"/>
  <c r="N401" s="1"/>
  <c r="P401" s="1"/>
  <c r="O401" s="1"/>
  <c r="K401" s="1"/>
  <c r="H401" s="1"/>
  <c r="M113"/>
  <c r="N113" s="1"/>
  <c r="P113" s="1"/>
  <c r="O113" s="1"/>
  <c r="K113" s="1"/>
  <c r="H113" s="1"/>
  <c r="M319"/>
  <c r="N319" s="1"/>
  <c r="P319" s="1"/>
  <c r="O319" s="1"/>
  <c r="K319" s="1"/>
  <c r="H319" s="1"/>
  <c r="M111"/>
  <c r="N111" s="1"/>
  <c r="P111" s="1"/>
  <c r="O111" s="1"/>
  <c r="K111" s="1"/>
  <c r="H111" s="1"/>
  <c r="M317"/>
  <c r="N317" s="1"/>
  <c r="P317" s="1"/>
  <c r="O317" s="1"/>
  <c r="K317" s="1"/>
  <c r="H317" s="1"/>
  <c r="M109"/>
  <c r="N109" s="1"/>
  <c r="P109" s="1"/>
  <c r="O109" s="1"/>
  <c r="K109" s="1"/>
  <c r="H109" s="1"/>
  <c r="M710"/>
  <c r="N710" s="1"/>
  <c r="P710" s="1"/>
  <c r="O710" s="1"/>
  <c r="K710" s="1"/>
  <c r="H710" s="1"/>
  <c r="M708"/>
  <c r="N708" s="1"/>
  <c r="P708" s="1"/>
  <c r="O708" s="1"/>
  <c r="K708" s="1"/>
  <c r="H708" s="1"/>
  <c r="M498"/>
  <c r="N498" s="1"/>
  <c r="P498" s="1"/>
  <c r="O498" s="1"/>
  <c r="K498" s="1"/>
  <c r="H498" s="1"/>
  <c r="Z446" s="1"/>
  <c r="M45"/>
  <c r="N45" s="1"/>
  <c r="P45" s="1"/>
  <c r="O45" s="1"/>
  <c r="K45" s="1"/>
  <c r="H45" s="1"/>
  <c r="M148"/>
  <c r="N148" s="1"/>
  <c r="P148" s="1"/>
  <c r="O148" s="1"/>
  <c r="K148" s="1"/>
  <c r="H148" s="1"/>
  <c r="Y148" s="1"/>
  <c r="M354"/>
  <c r="N354" s="1"/>
  <c r="P354" s="1"/>
  <c r="O354" s="1"/>
  <c r="K354" s="1"/>
  <c r="H354" s="1"/>
  <c r="M352"/>
  <c r="N352" s="1"/>
  <c r="P352" s="1"/>
  <c r="O352" s="1"/>
  <c r="K352" s="1"/>
  <c r="H352" s="1"/>
  <c r="M351"/>
  <c r="N351" s="1"/>
  <c r="P351" s="1"/>
  <c r="O351" s="1"/>
  <c r="K351" s="1"/>
  <c r="H351" s="1"/>
  <c r="M349"/>
  <c r="N349" s="1"/>
  <c r="P349" s="1"/>
  <c r="O349" s="1"/>
  <c r="K349" s="1"/>
  <c r="H349" s="1"/>
  <c r="M347"/>
  <c r="N347" s="1"/>
  <c r="P347" s="1"/>
  <c r="O347" s="1"/>
  <c r="K347" s="1"/>
  <c r="H347" s="1"/>
  <c r="M539"/>
  <c r="N539" s="1"/>
  <c r="P539" s="1"/>
  <c r="O539" s="1"/>
  <c r="K539" s="1"/>
  <c r="H539" s="1"/>
  <c r="M538"/>
  <c r="N538" s="1"/>
  <c r="P538" s="1"/>
  <c r="O538" s="1"/>
  <c r="K538" s="1"/>
  <c r="H538" s="1"/>
  <c r="M537"/>
  <c r="N537" s="1"/>
  <c r="P537" s="1"/>
  <c r="O537" s="1"/>
  <c r="K537" s="1"/>
  <c r="H537" s="1"/>
  <c r="M536"/>
  <c r="N536" s="1"/>
  <c r="P536" s="1"/>
  <c r="O536" s="1"/>
  <c r="K536" s="1"/>
  <c r="H536" s="1"/>
  <c r="M825"/>
  <c r="N825" s="1"/>
  <c r="P825" s="1"/>
  <c r="O825" s="1"/>
  <c r="K825" s="1"/>
  <c r="H825" s="1"/>
  <c r="M720"/>
  <c r="N720" s="1"/>
  <c r="P720" s="1"/>
  <c r="O720" s="1"/>
  <c r="K720" s="1"/>
  <c r="H720" s="1"/>
  <c r="D720"/>
  <c r="Q720"/>
  <c r="M512"/>
  <c r="N512" s="1"/>
  <c r="P512" s="1"/>
  <c r="O512" s="1"/>
  <c r="K512" s="1"/>
  <c r="H512" s="1"/>
  <c r="D512"/>
  <c r="Q512"/>
  <c r="D719"/>
  <c r="Q719"/>
  <c r="Q511"/>
  <c r="D511"/>
  <c r="D718"/>
  <c r="Q718"/>
  <c r="M510"/>
  <c r="N510" s="1"/>
  <c r="P510" s="1"/>
  <c r="O510" s="1"/>
  <c r="K510" s="1"/>
  <c r="H510" s="1"/>
  <c r="D510"/>
  <c r="Q510"/>
  <c r="D717"/>
  <c r="Q717"/>
  <c r="D509"/>
  <c r="Q509"/>
  <c r="D716"/>
  <c r="Q716"/>
  <c r="M508"/>
  <c r="N508" s="1"/>
  <c r="P508" s="1"/>
  <c r="O508" s="1"/>
  <c r="K508" s="1"/>
  <c r="H508" s="1"/>
  <c r="D508"/>
  <c r="Q508"/>
  <c r="M714"/>
  <c r="N714" s="1"/>
  <c r="P714" s="1"/>
  <c r="O714" s="1"/>
  <c r="K714" s="1"/>
  <c r="H714" s="1"/>
  <c r="M610"/>
  <c r="N610" s="1"/>
  <c r="P610" s="1"/>
  <c r="O610" s="1"/>
  <c r="K610" s="1"/>
  <c r="H610" s="1"/>
  <c r="M817"/>
  <c r="N817" s="1"/>
  <c r="P817" s="1"/>
  <c r="O817" s="1"/>
  <c r="K817" s="1"/>
  <c r="H817" s="1"/>
  <c r="D713"/>
  <c r="Q713"/>
  <c r="Q505"/>
  <c r="D505"/>
  <c r="M712"/>
  <c r="N712" s="1"/>
  <c r="P712" s="1"/>
  <c r="O712" s="1"/>
  <c r="K712" s="1"/>
  <c r="H712" s="1"/>
  <c r="Z660" s="1"/>
  <c r="D712"/>
  <c r="Q712"/>
  <c r="M608"/>
  <c r="N608" s="1"/>
  <c r="P608" s="1"/>
  <c r="O608" s="1"/>
  <c r="K608" s="1"/>
  <c r="H608" s="1"/>
  <c r="M504"/>
  <c r="N504" s="1"/>
  <c r="P504" s="1"/>
  <c r="O504" s="1"/>
  <c r="K504" s="1"/>
  <c r="H504" s="1"/>
  <c r="D504"/>
  <c r="Q504"/>
  <c r="Q685"/>
  <c r="X711"/>
  <c r="Q477"/>
  <c r="X503"/>
  <c r="M684"/>
  <c r="N684" s="1"/>
  <c r="P684" s="1"/>
  <c r="O684" s="1"/>
  <c r="K684" s="1"/>
  <c r="H684" s="1"/>
  <c r="M476"/>
  <c r="N476" s="1"/>
  <c r="P476" s="1"/>
  <c r="O476" s="1"/>
  <c r="K476" s="1"/>
  <c r="H476" s="1"/>
  <c r="Q683"/>
  <c r="X709"/>
  <c r="Q475"/>
  <c r="M682"/>
  <c r="N682" s="1"/>
  <c r="P682" s="1"/>
  <c r="O682" s="1"/>
  <c r="K682" s="1"/>
  <c r="H682" s="1"/>
  <c r="M474"/>
  <c r="N474" s="1"/>
  <c r="P474" s="1"/>
  <c r="O474" s="1"/>
  <c r="K474" s="1"/>
  <c r="H474" s="1"/>
  <c r="Q681"/>
  <c r="X707"/>
  <c r="Q473"/>
  <c r="Q680"/>
  <c r="X706"/>
  <c r="Q472"/>
  <c r="X498"/>
  <c r="M331"/>
  <c r="N331" s="1"/>
  <c r="P331" s="1"/>
  <c r="O331" s="1"/>
  <c r="K331" s="1"/>
  <c r="H331" s="1"/>
  <c r="M123"/>
  <c r="N123" s="1"/>
  <c r="P123" s="1"/>
  <c r="O123" s="1"/>
  <c r="K123" s="1"/>
  <c r="H123" s="1"/>
  <c r="M330"/>
  <c r="N330" s="1"/>
  <c r="P330" s="1"/>
  <c r="O330" s="1"/>
  <c r="K330" s="1"/>
  <c r="H330" s="1"/>
  <c r="M122"/>
  <c r="N122" s="1"/>
  <c r="P122" s="1"/>
  <c r="O122" s="1"/>
  <c r="K122" s="1"/>
  <c r="H122" s="1"/>
  <c r="M329"/>
  <c r="N329" s="1"/>
  <c r="P329" s="1"/>
  <c r="O329" s="1"/>
  <c r="K329" s="1"/>
  <c r="H329" s="1"/>
  <c r="M121"/>
  <c r="N121" s="1"/>
  <c r="P121" s="1"/>
  <c r="O121" s="1"/>
  <c r="K121" s="1"/>
  <c r="H121" s="1"/>
  <c r="M328"/>
  <c r="N328" s="1"/>
  <c r="P328" s="1"/>
  <c r="O328" s="1"/>
  <c r="K328" s="1"/>
  <c r="H328" s="1"/>
  <c r="M120"/>
  <c r="N120" s="1"/>
  <c r="P120" s="1"/>
  <c r="O120" s="1"/>
  <c r="K120" s="1"/>
  <c r="H120" s="1"/>
  <c r="M327"/>
  <c r="N327" s="1"/>
  <c r="P327" s="1"/>
  <c r="O327" s="1"/>
  <c r="K327" s="1"/>
  <c r="H327" s="1"/>
  <c r="M119"/>
  <c r="N119" s="1"/>
  <c r="P119" s="1"/>
  <c r="O119" s="1"/>
  <c r="K119" s="1"/>
  <c r="H119" s="1"/>
  <c r="M326"/>
  <c r="N326" s="1"/>
  <c r="P326" s="1"/>
  <c r="O326" s="1"/>
  <c r="K326" s="1"/>
  <c r="H326" s="1"/>
  <c r="M118"/>
  <c r="N118" s="1"/>
  <c r="P118" s="1"/>
  <c r="O118" s="1"/>
  <c r="K118" s="1"/>
  <c r="H118" s="1"/>
  <c r="M325"/>
  <c r="N325" s="1"/>
  <c r="P325" s="1"/>
  <c r="O325" s="1"/>
  <c r="K325" s="1"/>
  <c r="H325" s="1"/>
  <c r="M117"/>
  <c r="N117" s="1"/>
  <c r="P117" s="1"/>
  <c r="O117" s="1"/>
  <c r="K117" s="1"/>
  <c r="H117" s="1"/>
  <c r="M324"/>
  <c r="N324" s="1"/>
  <c r="P324" s="1"/>
  <c r="O324" s="1"/>
  <c r="K324" s="1"/>
  <c r="H324" s="1"/>
  <c r="M116"/>
  <c r="N116" s="1"/>
  <c r="P116" s="1"/>
  <c r="O116" s="1"/>
  <c r="K116" s="1"/>
  <c r="H116" s="1"/>
  <c r="M323"/>
  <c r="N323" s="1"/>
  <c r="P323" s="1"/>
  <c r="O323" s="1"/>
  <c r="K323" s="1"/>
  <c r="H323" s="1"/>
  <c r="M115"/>
  <c r="N115" s="1"/>
  <c r="P115" s="1"/>
  <c r="O115" s="1"/>
  <c r="K115" s="1"/>
  <c r="H115" s="1"/>
  <c r="M322"/>
  <c r="N322" s="1"/>
  <c r="P322" s="1"/>
  <c r="O322" s="1"/>
  <c r="K322" s="1"/>
  <c r="H322" s="1"/>
  <c r="M114"/>
  <c r="N114" s="1"/>
  <c r="P114" s="1"/>
  <c r="O114" s="1"/>
  <c r="K114" s="1"/>
  <c r="H114" s="1"/>
  <c r="M799"/>
  <c r="N799" s="1"/>
  <c r="P799" s="1"/>
  <c r="O799" s="1"/>
  <c r="K799" s="1"/>
  <c r="H799" s="1"/>
  <c r="M695"/>
  <c r="N695" s="1"/>
  <c r="P695" s="1"/>
  <c r="O695" s="1"/>
  <c r="K695" s="1"/>
  <c r="H695" s="1"/>
  <c r="M591"/>
  <c r="N591" s="1"/>
  <c r="P591" s="1"/>
  <c r="O591" s="1"/>
  <c r="K591" s="1"/>
  <c r="H591" s="1"/>
  <c r="Q487"/>
  <c r="X513"/>
  <c r="M798"/>
  <c r="N798" s="1"/>
  <c r="P798" s="1"/>
  <c r="O798" s="1"/>
  <c r="K798" s="1"/>
  <c r="H798" s="1"/>
  <c r="M694"/>
  <c r="N694" s="1"/>
  <c r="P694" s="1"/>
  <c r="O694" s="1"/>
  <c r="K694" s="1"/>
  <c r="H694" s="1"/>
  <c r="M590"/>
  <c r="N590" s="1"/>
  <c r="P590" s="1"/>
  <c r="O590" s="1"/>
  <c r="K590" s="1"/>
  <c r="H590" s="1"/>
  <c r="Q486"/>
  <c r="X512"/>
  <c r="M797"/>
  <c r="N797" s="1"/>
  <c r="P797" s="1"/>
  <c r="O797" s="1"/>
  <c r="K797" s="1"/>
  <c r="H797" s="1"/>
  <c r="M693"/>
  <c r="N693" s="1"/>
  <c r="P693" s="1"/>
  <c r="O693" s="1"/>
  <c r="K693" s="1"/>
  <c r="H693" s="1"/>
  <c r="M589"/>
  <c r="N589" s="1"/>
  <c r="P589" s="1"/>
  <c r="O589" s="1"/>
  <c r="K589" s="1"/>
  <c r="H589" s="1"/>
  <c r="Q485"/>
  <c r="X511"/>
  <c r="M796"/>
  <c r="N796" s="1"/>
  <c r="P796" s="1"/>
  <c r="O796" s="1"/>
  <c r="K796" s="1"/>
  <c r="H796" s="1"/>
  <c r="M692"/>
  <c r="N692" s="1"/>
  <c r="P692" s="1"/>
  <c r="O692" s="1"/>
  <c r="K692" s="1"/>
  <c r="H692" s="1"/>
  <c r="M588"/>
  <c r="N588" s="1"/>
  <c r="P588" s="1"/>
  <c r="O588" s="1"/>
  <c r="K588" s="1"/>
  <c r="H588" s="1"/>
  <c r="Q484"/>
  <c r="X510"/>
  <c r="M795"/>
  <c r="N795" s="1"/>
  <c r="P795" s="1"/>
  <c r="O795" s="1"/>
  <c r="K795" s="1"/>
  <c r="H795" s="1"/>
  <c r="M691"/>
  <c r="N691" s="1"/>
  <c r="P691" s="1"/>
  <c r="O691" s="1"/>
  <c r="K691" s="1"/>
  <c r="H691" s="1"/>
  <c r="M587"/>
  <c r="N587" s="1"/>
  <c r="P587" s="1"/>
  <c r="O587" s="1"/>
  <c r="K587" s="1"/>
  <c r="H587" s="1"/>
  <c r="Q483"/>
  <c r="X509"/>
  <c r="M794"/>
  <c r="N794" s="1"/>
  <c r="P794" s="1"/>
  <c r="O794" s="1"/>
  <c r="K794" s="1"/>
  <c r="H794" s="1"/>
  <c r="M690"/>
  <c r="N690" s="1"/>
  <c r="P690" s="1"/>
  <c r="O690" s="1"/>
  <c r="K690" s="1"/>
  <c r="H690" s="1"/>
  <c r="M586"/>
  <c r="N586" s="1"/>
  <c r="P586" s="1"/>
  <c r="O586" s="1"/>
  <c r="K586" s="1"/>
  <c r="H586" s="1"/>
  <c r="Q482"/>
  <c r="X508"/>
  <c r="M793"/>
  <c r="N793" s="1"/>
  <c r="P793" s="1"/>
  <c r="O793" s="1"/>
  <c r="K793" s="1"/>
  <c r="H793" s="1"/>
  <c r="M689"/>
  <c r="N689" s="1"/>
  <c r="P689" s="1"/>
  <c r="O689" s="1"/>
  <c r="K689" s="1"/>
  <c r="H689" s="1"/>
  <c r="Q481"/>
  <c r="X507"/>
  <c r="Q480"/>
  <c r="X506"/>
  <c r="Q479"/>
  <c r="X505"/>
  <c r="Q478"/>
  <c r="X504"/>
  <c r="X763"/>
  <c r="Q763"/>
  <c r="D763"/>
  <c r="D762"/>
  <c r="X762"/>
  <c r="Q762"/>
  <c r="Q761"/>
  <c r="D761"/>
  <c r="X761"/>
  <c r="D760"/>
  <c r="X760"/>
  <c r="Q760"/>
  <c r="M759"/>
  <c r="N759" s="1"/>
  <c r="P759" s="1"/>
  <c r="O759" s="1"/>
  <c r="K759" s="1"/>
  <c r="H759" s="1"/>
  <c r="D759"/>
  <c r="Q759"/>
  <c r="X759"/>
  <c r="M201"/>
  <c r="N201" s="1"/>
  <c r="P201" s="1"/>
  <c r="O201" s="1"/>
  <c r="K201" s="1"/>
  <c r="H201" s="1"/>
  <c r="Z149" s="1"/>
  <c r="D201"/>
  <c r="Q201"/>
  <c r="D200"/>
  <c r="Q200"/>
  <c r="M199"/>
  <c r="N199" s="1"/>
  <c r="P199" s="1"/>
  <c r="O199" s="1"/>
  <c r="K199" s="1"/>
  <c r="H199" s="1"/>
  <c r="D199"/>
  <c r="Q199"/>
  <c r="D198"/>
  <c r="Q198"/>
  <c r="M197"/>
  <c r="N197" s="1"/>
  <c r="P197" s="1"/>
  <c r="O197" s="1"/>
  <c r="K197" s="1"/>
  <c r="H197" s="1"/>
  <c r="Z145" s="1"/>
  <c r="D197"/>
  <c r="Q197"/>
  <c r="D196"/>
  <c r="Q196"/>
  <c r="M195"/>
  <c r="N195" s="1"/>
  <c r="P195" s="1"/>
  <c r="O195" s="1"/>
  <c r="K195" s="1"/>
  <c r="H195" s="1"/>
  <c r="D195"/>
  <c r="Q195"/>
  <c r="D194"/>
  <c r="Q194"/>
  <c r="M193"/>
  <c r="N193" s="1"/>
  <c r="P193" s="1"/>
  <c r="O193" s="1"/>
  <c r="K193" s="1"/>
  <c r="H193" s="1"/>
  <c r="D193"/>
  <c r="Q193"/>
  <c r="D192"/>
  <c r="Q192"/>
  <c r="Q425"/>
  <c r="Q320"/>
  <c r="Q216"/>
  <c r="Q112"/>
  <c r="Q423"/>
  <c r="Q318"/>
  <c r="Q214"/>
  <c r="Q110"/>
  <c r="Q421"/>
  <c r="Q420"/>
  <c r="Q316"/>
  <c r="Q108"/>
  <c r="D815"/>
  <c r="Q815"/>
  <c r="M607"/>
  <c r="N607" s="1"/>
  <c r="P607" s="1"/>
  <c r="O607" s="1"/>
  <c r="K607" s="1"/>
  <c r="H607" s="1"/>
  <c r="Z555" s="1"/>
  <c r="D607"/>
  <c r="Q607"/>
  <c r="D814"/>
  <c r="Q814"/>
  <c r="M606"/>
  <c r="N606" s="1"/>
  <c r="P606" s="1"/>
  <c r="O606" s="1"/>
  <c r="K606" s="1"/>
  <c r="H606" s="1"/>
  <c r="D606"/>
  <c r="Q606"/>
  <c r="D813"/>
  <c r="Q813"/>
  <c r="M605"/>
  <c r="N605" s="1"/>
  <c r="P605" s="1"/>
  <c r="O605" s="1"/>
  <c r="K605" s="1"/>
  <c r="H605" s="1"/>
  <c r="D605"/>
  <c r="Q605"/>
  <c r="D812"/>
  <c r="Q812"/>
  <c r="M604"/>
  <c r="N604" s="1"/>
  <c r="P604" s="1"/>
  <c r="O604" s="1"/>
  <c r="K604" s="1"/>
  <c r="H604" s="1"/>
  <c r="D604"/>
  <c r="Q604"/>
  <c r="D811"/>
  <c r="Q811"/>
  <c r="M603"/>
  <c r="N603" s="1"/>
  <c r="P603" s="1"/>
  <c r="O603" s="1"/>
  <c r="K603" s="1"/>
  <c r="H603" s="1"/>
  <c r="D603"/>
  <c r="Q603"/>
  <c r="D810"/>
  <c r="Q810"/>
  <c r="M357"/>
  <c r="N357" s="1"/>
  <c r="P357" s="1"/>
  <c r="O357" s="1"/>
  <c r="K357" s="1"/>
  <c r="H357" s="1"/>
  <c r="D357"/>
  <c r="Q357"/>
  <c r="X357"/>
  <c r="M149"/>
  <c r="N149" s="1"/>
  <c r="P149" s="1"/>
  <c r="O149" s="1"/>
  <c r="K149" s="1"/>
  <c r="H149" s="1"/>
  <c r="Y149" s="1"/>
  <c r="D149"/>
  <c r="Q149"/>
  <c r="X149"/>
  <c r="M356"/>
  <c r="N356" s="1"/>
  <c r="P356" s="1"/>
  <c r="O356" s="1"/>
  <c r="K356" s="1"/>
  <c r="H356" s="1"/>
  <c r="D356"/>
  <c r="Q356"/>
  <c r="X356"/>
  <c r="D44"/>
  <c r="Q44"/>
  <c r="X44"/>
  <c r="M251"/>
  <c r="N251" s="1"/>
  <c r="P251" s="1"/>
  <c r="O251" s="1"/>
  <c r="K251" s="1"/>
  <c r="H251" s="1"/>
  <c r="Y251" s="1"/>
  <c r="D251"/>
  <c r="Q251"/>
  <c r="X251"/>
  <c r="D43"/>
  <c r="Q43"/>
  <c r="X43"/>
  <c r="X250"/>
  <c r="D250"/>
  <c r="Q250"/>
  <c r="M42"/>
  <c r="N42" s="1"/>
  <c r="P42" s="1"/>
  <c r="O42" s="1"/>
  <c r="K42" s="1"/>
  <c r="H42" s="1"/>
  <c r="D42"/>
  <c r="Q42"/>
  <c r="X42"/>
  <c r="M249"/>
  <c r="N249" s="1"/>
  <c r="P249" s="1"/>
  <c r="O249" s="1"/>
  <c r="K249" s="1"/>
  <c r="H249" s="1"/>
  <c r="Y249" s="1"/>
  <c r="D249"/>
  <c r="Q249"/>
  <c r="X249"/>
  <c r="X41"/>
  <c r="D41"/>
  <c r="Q41"/>
  <c r="X248"/>
  <c r="D248"/>
  <c r="Q248"/>
  <c r="M40"/>
  <c r="N40" s="1"/>
  <c r="P40" s="1"/>
  <c r="O40" s="1"/>
  <c r="K40" s="1"/>
  <c r="H40" s="1"/>
  <c r="D40"/>
  <c r="Q40"/>
  <c r="X40"/>
  <c r="M247"/>
  <c r="N247" s="1"/>
  <c r="P247" s="1"/>
  <c r="O247" s="1"/>
  <c r="K247" s="1"/>
  <c r="H247" s="1"/>
  <c r="Y247" s="1"/>
  <c r="D247"/>
  <c r="Q247"/>
  <c r="X247"/>
  <c r="X39"/>
  <c r="D39"/>
  <c r="Q39"/>
  <c r="X246"/>
  <c r="D246"/>
  <c r="Q246"/>
  <c r="M38"/>
  <c r="N38" s="1"/>
  <c r="P38" s="1"/>
  <c r="O38" s="1"/>
  <c r="K38" s="1"/>
  <c r="H38" s="1"/>
  <c r="D38"/>
  <c r="Q38"/>
  <c r="X38"/>
  <c r="M245"/>
  <c r="N245" s="1"/>
  <c r="P245" s="1"/>
  <c r="O245" s="1"/>
  <c r="K245" s="1"/>
  <c r="H245" s="1"/>
  <c r="Y245" s="1"/>
  <c r="D245"/>
  <c r="Q245"/>
  <c r="X245"/>
  <c r="X37"/>
  <c r="D37"/>
  <c r="Q37"/>
  <c r="X244"/>
  <c r="D244"/>
  <c r="Q244"/>
  <c r="M36"/>
  <c r="N36" s="1"/>
  <c r="P36" s="1"/>
  <c r="O36" s="1"/>
  <c r="K36" s="1"/>
  <c r="H36" s="1"/>
  <c r="D36"/>
  <c r="Q36"/>
  <c r="X36"/>
  <c r="M243"/>
  <c r="N243" s="1"/>
  <c r="P243" s="1"/>
  <c r="O243" s="1"/>
  <c r="K243" s="1"/>
  <c r="H243" s="1"/>
  <c r="Y243" s="1"/>
  <c r="D243"/>
  <c r="Q243"/>
  <c r="X243"/>
  <c r="X35"/>
  <c r="D35"/>
  <c r="Q35"/>
  <c r="Q851"/>
  <c r="Q643"/>
  <c r="Q850"/>
  <c r="Q642"/>
  <c r="Q849"/>
  <c r="Q641"/>
  <c r="Q848"/>
  <c r="Q640"/>
  <c r="Q743"/>
  <c r="L743"/>
  <c r="M639"/>
  <c r="N639" s="1"/>
  <c r="P639" s="1"/>
  <c r="O639" s="1"/>
  <c r="K639" s="1"/>
  <c r="H639" s="1"/>
  <c r="Q742"/>
  <c r="L742"/>
  <c r="M638"/>
  <c r="N638" s="1"/>
  <c r="P638" s="1"/>
  <c r="O638" s="1"/>
  <c r="K638" s="1"/>
  <c r="H638" s="1"/>
  <c r="Q741"/>
  <c r="L741"/>
  <c r="M637"/>
  <c r="N637" s="1"/>
  <c r="P637" s="1"/>
  <c r="O637" s="1"/>
  <c r="K637" s="1"/>
  <c r="H637" s="1"/>
  <c r="Q740"/>
  <c r="L740"/>
  <c r="M636"/>
  <c r="N636" s="1"/>
  <c r="P636" s="1"/>
  <c r="O636" s="1"/>
  <c r="K636" s="1"/>
  <c r="H636" s="1"/>
  <c r="Q739"/>
  <c r="L739"/>
  <c r="S460" i="5"/>
  <c r="Y460"/>
  <c r="V460" s="1"/>
  <c r="T478" s="1"/>
  <c r="U478" s="1"/>
  <c r="S321"/>
  <c r="Y321"/>
  <c r="V321" s="1"/>
  <c r="T339" s="1"/>
  <c r="U339" s="1"/>
  <c r="S319"/>
  <c r="Y319"/>
  <c r="V319" s="1"/>
  <c r="T337" s="1"/>
  <c r="U337" s="1"/>
  <c r="S274"/>
  <c r="Y274"/>
  <c r="V274" s="1"/>
  <c r="T292" s="1"/>
  <c r="U292" s="1"/>
  <c r="S272"/>
  <c r="Y272"/>
  <c r="V272" s="1"/>
  <c r="T290" s="1"/>
  <c r="S539"/>
  <c r="Y539"/>
  <c r="V539" s="1"/>
  <c r="T557" s="1"/>
  <c r="U557" s="1"/>
  <c r="S536"/>
  <c r="Y536"/>
  <c r="V536" s="1"/>
  <c r="T554" s="1"/>
  <c r="U554" s="1"/>
  <c r="S535"/>
  <c r="Y535"/>
  <c r="V535" s="1"/>
  <c r="T553" s="1"/>
  <c r="U553" s="1"/>
  <c r="S532"/>
  <c r="Y532"/>
  <c r="V532" s="1"/>
  <c r="T550" s="1"/>
  <c r="U550" s="1"/>
  <c r="S531"/>
  <c r="Y531"/>
  <c r="V531" s="1"/>
  <c r="T549" s="1"/>
  <c r="U549" s="1"/>
  <c r="S528"/>
  <c r="Y528"/>
  <c r="V528" s="1"/>
  <c r="T546" s="1"/>
  <c r="U546" s="1"/>
  <c r="S527"/>
  <c r="Y527"/>
  <c r="V527" s="1"/>
  <c r="T545" s="1"/>
  <c r="U545" s="1"/>
  <c r="S490"/>
  <c r="Y490"/>
  <c r="V490" s="1"/>
  <c r="T508" s="1"/>
  <c r="U508" s="1"/>
  <c r="S178"/>
  <c r="Y178"/>
  <c r="V178" s="1"/>
  <c r="T196" s="1"/>
  <c r="U196" s="1"/>
  <c r="S176"/>
  <c r="Y176"/>
  <c r="V176" s="1"/>
  <c r="T194" s="1"/>
  <c r="U194" s="1"/>
  <c r="S174"/>
  <c r="Y174"/>
  <c r="V174" s="1"/>
  <c r="T192" s="1"/>
  <c r="U192" s="1"/>
  <c r="S172"/>
  <c r="Y172"/>
  <c r="V172" s="1"/>
  <c r="T190" s="1"/>
  <c r="U190" s="1"/>
  <c r="S170"/>
  <c r="Y170"/>
  <c r="V170" s="1"/>
  <c r="T188" s="1"/>
  <c r="U188" s="1"/>
  <c r="S168"/>
  <c r="Y168"/>
  <c r="V168" s="1"/>
  <c r="T186" s="1"/>
  <c r="U186" s="1"/>
  <c r="S56"/>
  <c r="Y56"/>
  <c r="V56" s="1"/>
  <c r="T74" s="1"/>
  <c r="S806" i="6"/>
  <c r="V806" s="1"/>
  <c r="AA780"/>
  <c r="S517"/>
  <c r="V517" s="1"/>
  <c r="Z465"/>
  <c r="S700"/>
  <c r="V700" s="1"/>
  <c r="AA674"/>
  <c r="S696"/>
  <c r="V696" s="1"/>
  <c r="AA670"/>
  <c r="S547"/>
  <c r="V547" s="1"/>
  <c r="AB469"/>
  <c r="S388"/>
  <c r="V388" s="1"/>
  <c r="AA362"/>
  <c r="S384"/>
  <c r="V384" s="1"/>
  <c r="AA358"/>
  <c r="S335"/>
  <c r="V335" s="1"/>
  <c r="AB257"/>
  <c r="S333"/>
  <c r="V333" s="1"/>
  <c r="AB255"/>
  <c r="S309"/>
  <c r="V309" s="1"/>
  <c r="Z257"/>
  <c r="S233"/>
  <c r="V233" s="1"/>
  <c r="AB155"/>
  <c r="S231"/>
  <c r="V231" s="1"/>
  <c r="AB153"/>
  <c r="S130"/>
  <c r="V130" s="1"/>
  <c r="AB52"/>
  <c r="S124"/>
  <c r="V124" s="1"/>
  <c r="AB46"/>
  <c r="S79"/>
  <c r="V79" s="1"/>
  <c r="AA53"/>
  <c r="S73"/>
  <c r="V73" s="1"/>
  <c r="AA47"/>
  <c r="S48"/>
  <c r="V48" s="1"/>
  <c r="Y48"/>
  <c r="S457" i="5"/>
  <c r="Y457"/>
  <c r="V457" s="1"/>
  <c r="T475" s="1"/>
  <c r="U475" s="1"/>
  <c r="S456"/>
  <c r="Y456"/>
  <c r="V456" s="1"/>
  <c r="T474" s="1"/>
  <c r="U474" s="1"/>
  <c r="S395"/>
  <c r="Y395"/>
  <c r="V395" s="1"/>
  <c r="T413" s="1"/>
  <c r="U413" s="1"/>
  <c r="S389"/>
  <c r="Y389"/>
  <c r="V389" s="1"/>
  <c r="T407" s="1"/>
  <c r="U407" s="1"/>
  <c r="S388"/>
  <c r="Y388"/>
  <c r="V388" s="1"/>
  <c r="T406" s="1"/>
  <c r="U406" s="1"/>
  <c r="S322"/>
  <c r="Y322"/>
  <c r="V322" s="1"/>
  <c r="T340" s="1"/>
  <c r="U340" s="1"/>
  <c r="S320"/>
  <c r="Y320"/>
  <c r="V320" s="1"/>
  <c r="T338" s="1"/>
  <c r="U338" s="1"/>
  <c r="S314"/>
  <c r="Y314"/>
  <c r="V314" s="1"/>
  <c r="T332" s="1"/>
  <c r="U332" s="1"/>
  <c r="S313"/>
  <c r="Y313"/>
  <c r="V313" s="1"/>
  <c r="T331" s="1"/>
  <c r="U331" s="1"/>
  <c r="S309"/>
  <c r="Y309"/>
  <c r="V309" s="1"/>
  <c r="T327" s="1"/>
  <c r="U327" s="1"/>
  <c r="S394"/>
  <c r="Y394"/>
  <c r="V394" s="1"/>
  <c r="T412" s="1"/>
  <c r="U412" s="1"/>
  <c r="S392"/>
  <c r="Y392"/>
  <c r="V392" s="1"/>
  <c r="T410" s="1"/>
  <c r="U410" s="1"/>
  <c r="S386"/>
  <c r="Y386"/>
  <c r="V386" s="1"/>
  <c r="T404" s="1"/>
  <c r="U404" s="1"/>
  <c r="S385"/>
  <c r="Y385"/>
  <c r="V385" s="1"/>
  <c r="T403" s="1"/>
  <c r="U403" s="1"/>
  <c r="S381"/>
  <c r="Y381"/>
  <c r="V381" s="1"/>
  <c r="T399" s="1"/>
  <c r="U399" s="1"/>
  <c r="S562"/>
  <c r="Y562"/>
  <c r="V562" s="1"/>
  <c r="T580" s="1"/>
  <c r="U580" s="1"/>
  <c r="S560"/>
  <c r="Y560"/>
  <c r="V560" s="1"/>
  <c r="T578" s="1"/>
  <c r="S467"/>
  <c r="Y467"/>
  <c r="V467" s="1"/>
  <c r="T485" s="1"/>
  <c r="U485" s="1"/>
  <c r="S466"/>
  <c r="Y466"/>
  <c r="V466" s="1"/>
  <c r="T484" s="1"/>
  <c r="U484" s="1"/>
  <c r="S463"/>
  <c r="Y463"/>
  <c r="V463" s="1"/>
  <c r="T481" s="1"/>
  <c r="U481" s="1"/>
  <c r="S462"/>
  <c r="Y462"/>
  <c r="V462" s="1"/>
  <c r="T480" s="1"/>
  <c r="U480" s="1"/>
  <c r="S448"/>
  <c r="Y448"/>
  <c r="V448" s="1"/>
  <c r="S447"/>
  <c r="Y447"/>
  <c r="V447" s="1"/>
  <c r="S444"/>
  <c r="Y444"/>
  <c r="V444" s="1"/>
  <c r="S443"/>
  <c r="Y443"/>
  <c r="V443" s="1"/>
  <c r="S440"/>
  <c r="Y440"/>
  <c r="V440" s="1"/>
  <c r="S439"/>
  <c r="Y439"/>
  <c r="V439" s="1"/>
  <c r="S436"/>
  <c r="Y436"/>
  <c r="V436" s="1"/>
  <c r="S435"/>
  <c r="Y435"/>
  <c r="V435" s="1"/>
  <c r="S251"/>
  <c r="Y251"/>
  <c r="V251" s="1"/>
  <c r="T269" s="1"/>
  <c r="U269" s="1"/>
  <c r="S249"/>
  <c r="Y249"/>
  <c r="V249" s="1"/>
  <c r="T267" s="1"/>
  <c r="U267" s="1"/>
  <c r="S247"/>
  <c r="Y247"/>
  <c r="V247" s="1"/>
  <c r="T265" s="1"/>
  <c r="U265" s="1"/>
  <c r="S245"/>
  <c r="Y245"/>
  <c r="V245" s="1"/>
  <c r="T263" s="1"/>
  <c r="U263" s="1"/>
  <c r="S243"/>
  <c r="Y243"/>
  <c r="V243" s="1"/>
  <c r="T261" s="1"/>
  <c r="U261" s="1"/>
  <c r="S241"/>
  <c r="Y241"/>
  <c r="V241" s="1"/>
  <c r="T259" s="1"/>
  <c r="U259" s="1"/>
  <c r="S239"/>
  <c r="Y239"/>
  <c r="V239" s="1"/>
  <c r="T257" s="1"/>
  <c r="U257" s="1"/>
  <c r="S107"/>
  <c r="Y107"/>
  <c r="V107" s="1"/>
  <c r="T125" s="1"/>
  <c r="U125" s="1"/>
  <c r="S105"/>
  <c r="Y105"/>
  <c r="V105" s="1"/>
  <c r="T123" s="1"/>
  <c r="U123" s="1"/>
  <c r="S103"/>
  <c r="Y103"/>
  <c r="V103" s="1"/>
  <c r="T121" s="1"/>
  <c r="U121" s="1"/>
  <c r="S101"/>
  <c r="Y101"/>
  <c r="V101" s="1"/>
  <c r="T119" s="1"/>
  <c r="U119" s="1"/>
  <c r="S99"/>
  <c r="Y99"/>
  <c r="V99" s="1"/>
  <c r="T117" s="1"/>
  <c r="U117" s="1"/>
  <c r="S97"/>
  <c r="Y97"/>
  <c r="V97" s="1"/>
  <c r="T115" s="1"/>
  <c r="U115" s="1"/>
  <c r="S95"/>
  <c r="Y95"/>
  <c r="V95" s="1"/>
  <c r="T113" s="1"/>
  <c r="U113" s="1"/>
  <c r="S777" i="6"/>
  <c r="V777" s="1"/>
  <c r="Y777"/>
  <c r="S728"/>
  <c r="V728" s="1"/>
  <c r="Z676"/>
  <c r="S724"/>
  <c r="V724" s="1"/>
  <c r="Z672"/>
  <c r="S674"/>
  <c r="V674" s="1"/>
  <c r="Y674"/>
  <c r="S670"/>
  <c r="V670" s="1"/>
  <c r="Y670"/>
  <c r="S569"/>
  <c r="V569" s="1"/>
  <c r="Y569"/>
  <c r="S362"/>
  <c r="V362" s="1"/>
  <c r="Y362"/>
  <c r="S358"/>
  <c r="V358" s="1"/>
  <c r="Y358"/>
  <c r="S52"/>
  <c r="V52" s="1"/>
  <c r="Y52"/>
  <c r="S50"/>
  <c r="V50" s="1"/>
  <c r="Y50"/>
  <c r="S463"/>
  <c r="V463" s="1"/>
  <c r="Y463"/>
  <c r="S410"/>
  <c r="V410" s="1"/>
  <c r="Z358"/>
  <c r="S390"/>
  <c r="V390" s="1"/>
  <c r="AA364"/>
  <c r="S386"/>
  <c r="V386" s="1"/>
  <c r="AA360"/>
  <c r="S338"/>
  <c r="V338" s="1"/>
  <c r="AB260"/>
  <c r="S332"/>
  <c r="V332" s="1"/>
  <c r="AB254"/>
  <c r="S254"/>
  <c r="V254" s="1"/>
  <c r="Y254"/>
  <c r="S131"/>
  <c r="V131" s="1"/>
  <c r="AB53"/>
  <c r="S129"/>
  <c r="V129" s="1"/>
  <c r="AB51"/>
  <c r="S78"/>
  <c r="V78" s="1"/>
  <c r="AA52"/>
  <c r="S76"/>
  <c r="V76" s="1"/>
  <c r="AA50"/>
  <c r="S803"/>
  <c r="V803" s="1"/>
  <c r="AA777"/>
  <c r="S645"/>
  <c r="V645" s="1"/>
  <c r="AB567"/>
  <c r="S546"/>
  <c r="V546" s="1"/>
  <c r="AB468"/>
  <c r="S387"/>
  <c r="V387" s="1"/>
  <c r="AA361"/>
  <c r="S801"/>
  <c r="V801" s="1"/>
  <c r="AA775"/>
  <c r="S544"/>
  <c r="V544" s="1"/>
  <c r="AB466"/>
  <c r="S540"/>
  <c r="V540" s="1"/>
  <c r="AB462"/>
  <c r="F680"/>
  <c r="L810"/>
  <c r="F784"/>
  <c r="F524"/>
  <c r="D721"/>
  <c r="Q721"/>
  <c r="D513"/>
  <c r="Q513"/>
  <c r="M616"/>
  <c r="N616" s="1"/>
  <c r="P616" s="1"/>
  <c r="O616" s="1"/>
  <c r="K616" s="1"/>
  <c r="H616" s="1"/>
  <c r="M823"/>
  <c r="N823" s="1"/>
  <c r="P823" s="1"/>
  <c r="O823" s="1"/>
  <c r="K823" s="1"/>
  <c r="H823" s="1"/>
  <c r="M718"/>
  <c r="N718" s="1"/>
  <c r="P718" s="1"/>
  <c r="O718" s="1"/>
  <c r="K718" s="1"/>
  <c r="H718" s="1"/>
  <c r="M614"/>
  <c r="N614" s="1"/>
  <c r="P614" s="1"/>
  <c r="O614" s="1"/>
  <c r="K614" s="1"/>
  <c r="H614" s="1"/>
  <c r="M821"/>
  <c r="N821" s="1"/>
  <c r="P821" s="1"/>
  <c r="O821" s="1"/>
  <c r="K821" s="1"/>
  <c r="H821" s="1"/>
  <c r="M716"/>
  <c r="N716" s="1"/>
  <c r="P716" s="1"/>
  <c r="O716" s="1"/>
  <c r="K716" s="1"/>
  <c r="H716" s="1"/>
  <c r="M612"/>
  <c r="N612" s="1"/>
  <c r="P612" s="1"/>
  <c r="O612" s="1"/>
  <c r="K612" s="1"/>
  <c r="H612" s="1"/>
  <c r="M819"/>
  <c r="N819" s="1"/>
  <c r="P819" s="1"/>
  <c r="O819" s="1"/>
  <c r="K819" s="1"/>
  <c r="H819" s="1"/>
  <c r="D715"/>
  <c r="Q715"/>
  <c r="Q507"/>
  <c r="D507"/>
  <c r="D714"/>
  <c r="Q714"/>
  <c r="M506"/>
  <c r="N506" s="1"/>
  <c r="P506" s="1"/>
  <c r="O506" s="1"/>
  <c r="K506" s="1"/>
  <c r="H506" s="1"/>
  <c r="D506"/>
  <c r="Q506"/>
  <c r="D825"/>
  <c r="Q825"/>
  <c r="M617"/>
  <c r="N617" s="1"/>
  <c r="P617" s="1"/>
  <c r="O617" s="1"/>
  <c r="K617" s="1"/>
  <c r="H617" s="1"/>
  <c r="D617"/>
  <c r="Q617"/>
  <c r="M824"/>
  <c r="N824" s="1"/>
  <c r="P824" s="1"/>
  <c r="O824" s="1"/>
  <c r="K824" s="1"/>
  <c r="H824" s="1"/>
  <c r="D824"/>
  <c r="Q824"/>
  <c r="D616"/>
  <c r="Q616"/>
  <c r="D823"/>
  <c r="Q823"/>
  <c r="M615"/>
  <c r="N615" s="1"/>
  <c r="P615" s="1"/>
  <c r="O615" s="1"/>
  <c r="K615" s="1"/>
  <c r="H615" s="1"/>
  <c r="D615"/>
  <c r="Q615"/>
  <c r="M822"/>
  <c r="N822" s="1"/>
  <c r="P822" s="1"/>
  <c r="O822" s="1"/>
  <c r="K822" s="1"/>
  <c r="H822" s="1"/>
  <c r="D822"/>
  <c r="Q822"/>
  <c r="D614"/>
  <c r="Q614"/>
  <c r="D821"/>
  <c r="Q821"/>
  <c r="M613"/>
  <c r="N613" s="1"/>
  <c r="P613" s="1"/>
  <c r="O613" s="1"/>
  <c r="K613" s="1"/>
  <c r="H613" s="1"/>
  <c r="D613"/>
  <c r="Q613"/>
  <c r="M820"/>
  <c r="N820" s="1"/>
  <c r="P820" s="1"/>
  <c r="O820" s="1"/>
  <c r="K820" s="1"/>
  <c r="H820" s="1"/>
  <c r="D820"/>
  <c r="Q820"/>
  <c r="D612"/>
  <c r="Q612"/>
  <c r="D819"/>
  <c r="Q819"/>
  <c r="M611"/>
  <c r="N611" s="1"/>
  <c r="P611" s="1"/>
  <c r="O611" s="1"/>
  <c r="K611" s="1"/>
  <c r="H611" s="1"/>
  <c r="D611"/>
  <c r="Q611"/>
  <c r="M818"/>
  <c r="N818" s="1"/>
  <c r="P818" s="1"/>
  <c r="O818" s="1"/>
  <c r="K818" s="1"/>
  <c r="H818" s="1"/>
  <c r="D818"/>
  <c r="Q818"/>
  <c r="D610"/>
  <c r="Q610"/>
  <c r="D817"/>
  <c r="Q817"/>
  <c r="M609"/>
  <c r="N609" s="1"/>
  <c r="P609" s="1"/>
  <c r="O609" s="1"/>
  <c r="K609" s="1"/>
  <c r="H609" s="1"/>
  <c r="D609"/>
  <c r="Q609"/>
  <c r="M816"/>
  <c r="N816" s="1"/>
  <c r="P816" s="1"/>
  <c r="O816" s="1"/>
  <c r="K816" s="1"/>
  <c r="H816" s="1"/>
  <c r="D816"/>
  <c r="Q816"/>
  <c r="D608"/>
  <c r="Q608"/>
  <c r="Q684"/>
  <c r="X710"/>
  <c r="X502"/>
  <c r="Q476"/>
  <c r="Q682"/>
  <c r="X708"/>
  <c r="X500"/>
  <c r="Q474"/>
  <c r="Q331"/>
  <c r="Q123"/>
  <c r="Q330"/>
  <c r="Q122"/>
  <c r="Q329"/>
  <c r="Q121"/>
  <c r="Q328"/>
  <c r="Q120"/>
  <c r="Q327"/>
  <c r="Q119"/>
  <c r="Q326"/>
  <c r="Q118"/>
  <c r="Q325"/>
  <c r="Q117"/>
  <c r="Q324"/>
  <c r="Q116"/>
  <c r="Q323"/>
  <c r="Q115"/>
  <c r="Q322"/>
  <c r="Q114"/>
  <c r="Q799"/>
  <c r="X825"/>
  <c r="Q695"/>
  <c r="X721"/>
  <c r="Q591"/>
  <c r="X617"/>
  <c r="Q798"/>
  <c r="X824"/>
  <c r="Q694"/>
  <c r="X720"/>
  <c r="X616"/>
  <c r="Q590"/>
  <c r="Q797"/>
  <c r="X823"/>
  <c r="Q693"/>
  <c r="X719"/>
  <c r="Q589"/>
  <c r="X615"/>
  <c r="Q796"/>
  <c r="X822"/>
  <c r="Q692"/>
  <c r="X718"/>
  <c r="X614"/>
  <c r="Q588"/>
  <c r="Q795"/>
  <c r="X821"/>
  <c r="Q691"/>
  <c r="X717"/>
  <c r="Q587"/>
  <c r="X613"/>
  <c r="Q794"/>
  <c r="X820"/>
  <c r="Q690"/>
  <c r="X716"/>
  <c r="X612"/>
  <c r="Q586"/>
  <c r="Q793"/>
  <c r="X819"/>
  <c r="Q689"/>
  <c r="X715"/>
  <c r="Q585"/>
  <c r="X611"/>
  <c r="M481"/>
  <c r="N481" s="1"/>
  <c r="P481" s="1"/>
  <c r="O481" s="1"/>
  <c r="K481" s="1"/>
  <c r="H481" s="1"/>
  <c r="Q792"/>
  <c r="X818"/>
  <c r="Q688"/>
  <c r="X714"/>
  <c r="X610"/>
  <c r="Q584"/>
  <c r="M480"/>
  <c r="N480" s="1"/>
  <c r="P480" s="1"/>
  <c r="O480" s="1"/>
  <c r="K480" s="1"/>
  <c r="H480" s="1"/>
  <c r="Q791"/>
  <c r="X817"/>
  <c r="Q687"/>
  <c r="X713"/>
  <c r="Q583"/>
  <c r="X609"/>
  <c r="M479"/>
  <c r="N479" s="1"/>
  <c r="P479" s="1"/>
  <c r="O479" s="1"/>
  <c r="K479" s="1"/>
  <c r="H479" s="1"/>
  <c r="Q790"/>
  <c r="X816"/>
  <c r="Q686"/>
  <c r="X712"/>
  <c r="X608"/>
  <c r="Q582"/>
  <c r="M478"/>
  <c r="N478" s="1"/>
  <c r="P478" s="1"/>
  <c r="O478" s="1"/>
  <c r="K478" s="1"/>
  <c r="H478" s="1"/>
  <c r="M763"/>
  <c r="N763" s="1"/>
  <c r="P763" s="1"/>
  <c r="O763" s="1"/>
  <c r="K763" s="1"/>
  <c r="H763" s="1"/>
  <c r="M555"/>
  <c r="N555" s="1"/>
  <c r="P555" s="1"/>
  <c r="O555" s="1"/>
  <c r="K555" s="1"/>
  <c r="H555" s="1"/>
  <c r="D555"/>
  <c r="Q555"/>
  <c r="X555"/>
  <c r="M762"/>
  <c r="N762" s="1"/>
  <c r="P762" s="1"/>
  <c r="O762" s="1"/>
  <c r="K762" s="1"/>
  <c r="H762" s="1"/>
  <c r="M554"/>
  <c r="N554" s="1"/>
  <c r="P554" s="1"/>
  <c r="O554" s="1"/>
  <c r="K554" s="1"/>
  <c r="H554" s="1"/>
  <c r="D554"/>
  <c r="Q554"/>
  <c r="X554"/>
  <c r="M761"/>
  <c r="N761" s="1"/>
  <c r="P761" s="1"/>
  <c r="O761" s="1"/>
  <c r="K761" s="1"/>
  <c r="H761" s="1"/>
  <c r="M553"/>
  <c r="N553" s="1"/>
  <c r="P553" s="1"/>
  <c r="O553" s="1"/>
  <c r="K553" s="1"/>
  <c r="H553" s="1"/>
  <c r="D553"/>
  <c r="Q553"/>
  <c r="X553"/>
  <c r="M760"/>
  <c r="N760" s="1"/>
  <c r="P760" s="1"/>
  <c r="O760" s="1"/>
  <c r="K760" s="1"/>
  <c r="H760" s="1"/>
  <c r="M552"/>
  <c r="N552" s="1"/>
  <c r="P552" s="1"/>
  <c r="O552" s="1"/>
  <c r="K552" s="1"/>
  <c r="H552" s="1"/>
  <c r="D552"/>
  <c r="Q552"/>
  <c r="X552"/>
  <c r="X551"/>
  <c r="Q551"/>
  <c r="D551"/>
  <c r="Q758"/>
  <c r="X758"/>
  <c r="D758"/>
  <c r="D550"/>
  <c r="X550"/>
  <c r="Q550"/>
  <c r="D409"/>
  <c r="Q409"/>
  <c r="M408"/>
  <c r="N408" s="1"/>
  <c r="P408" s="1"/>
  <c r="O408" s="1"/>
  <c r="K408" s="1"/>
  <c r="H408" s="1"/>
  <c r="D408"/>
  <c r="Q408"/>
  <c r="M200"/>
  <c r="N200" s="1"/>
  <c r="P200" s="1"/>
  <c r="O200" s="1"/>
  <c r="K200" s="1"/>
  <c r="H200" s="1"/>
  <c r="D407"/>
  <c r="Q407"/>
  <c r="M406"/>
  <c r="N406" s="1"/>
  <c r="P406" s="1"/>
  <c r="O406" s="1"/>
  <c r="K406" s="1"/>
  <c r="H406" s="1"/>
  <c r="D406"/>
  <c r="Q406"/>
  <c r="M198"/>
  <c r="N198" s="1"/>
  <c r="P198" s="1"/>
  <c r="O198" s="1"/>
  <c r="K198" s="1"/>
  <c r="H198" s="1"/>
  <c r="D405"/>
  <c r="Q405"/>
  <c r="M404"/>
  <c r="N404" s="1"/>
  <c r="P404" s="1"/>
  <c r="O404" s="1"/>
  <c r="K404" s="1"/>
  <c r="H404" s="1"/>
  <c r="D404"/>
  <c r="Q404"/>
  <c r="M196"/>
  <c r="N196" s="1"/>
  <c r="P196" s="1"/>
  <c r="O196" s="1"/>
  <c r="K196" s="1"/>
  <c r="H196" s="1"/>
  <c r="D403"/>
  <c r="Q403"/>
  <c r="M402"/>
  <c r="N402" s="1"/>
  <c r="P402" s="1"/>
  <c r="O402" s="1"/>
  <c r="K402" s="1"/>
  <c r="H402" s="1"/>
  <c r="D402"/>
  <c r="Q402"/>
  <c r="M194"/>
  <c r="N194" s="1"/>
  <c r="P194" s="1"/>
  <c r="O194" s="1"/>
  <c r="K194" s="1"/>
  <c r="H194" s="1"/>
  <c r="D401"/>
  <c r="Q401"/>
  <c r="M400"/>
  <c r="N400" s="1"/>
  <c r="P400" s="1"/>
  <c r="O400" s="1"/>
  <c r="K400" s="1"/>
  <c r="H400" s="1"/>
  <c r="D400"/>
  <c r="Q400"/>
  <c r="M192"/>
  <c r="N192" s="1"/>
  <c r="P192" s="1"/>
  <c r="O192" s="1"/>
  <c r="K192" s="1"/>
  <c r="H192" s="1"/>
  <c r="M425"/>
  <c r="N425" s="1"/>
  <c r="P425" s="1"/>
  <c r="O425" s="1"/>
  <c r="K425" s="1"/>
  <c r="H425" s="1"/>
  <c r="Q321"/>
  <c r="Q217"/>
  <c r="Q113"/>
  <c r="Q424"/>
  <c r="M320"/>
  <c r="N320" s="1"/>
  <c r="P320" s="1"/>
  <c r="O320" s="1"/>
  <c r="K320" s="1"/>
  <c r="H320" s="1"/>
  <c r="M216"/>
  <c r="N216" s="1"/>
  <c r="P216" s="1"/>
  <c r="O216" s="1"/>
  <c r="K216" s="1"/>
  <c r="H216" s="1"/>
  <c r="M112"/>
  <c r="N112" s="1"/>
  <c r="P112" s="1"/>
  <c r="O112" s="1"/>
  <c r="K112" s="1"/>
  <c r="H112" s="1"/>
  <c r="M423"/>
  <c r="N423" s="1"/>
  <c r="P423" s="1"/>
  <c r="O423" s="1"/>
  <c r="K423" s="1"/>
  <c r="H423" s="1"/>
  <c r="Q319"/>
  <c r="Q215"/>
  <c r="Q111"/>
  <c r="Q422"/>
  <c r="M318"/>
  <c r="N318" s="1"/>
  <c r="P318" s="1"/>
  <c r="O318" s="1"/>
  <c r="K318" s="1"/>
  <c r="H318" s="1"/>
  <c r="M214"/>
  <c r="N214" s="1"/>
  <c r="P214" s="1"/>
  <c r="O214" s="1"/>
  <c r="K214" s="1"/>
  <c r="H214" s="1"/>
  <c r="M110"/>
  <c r="N110" s="1"/>
  <c r="P110" s="1"/>
  <c r="O110" s="1"/>
  <c r="K110" s="1"/>
  <c r="H110" s="1"/>
  <c r="M421"/>
  <c r="N421" s="1"/>
  <c r="P421" s="1"/>
  <c r="O421" s="1"/>
  <c r="K421" s="1"/>
  <c r="H421" s="1"/>
  <c r="Q317"/>
  <c r="Q213"/>
  <c r="Q109"/>
  <c r="M420"/>
  <c r="N420" s="1"/>
  <c r="P420" s="1"/>
  <c r="O420" s="1"/>
  <c r="K420" s="1"/>
  <c r="H420" s="1"/>
  <c r="M316"/>
  <c r="N316" s="1"/>
  <c r="P316" s="1"/>
  <c r="O316" s="1"/>
  <c r="K316" s="1"/>
  <c r="H316" s="1"/>
  <c r="Q212"/>
  <c r="M108"/>
  <c r="N108" s="1"/>
  <c r="P108" s="1"/>
  <c r="O108" s="1"/>
  <c r="K108" s="1"/>
  <c r="H108" s="1"/>
  <c r="M815"/>
  <c r="N815" s="1"/>
  <c r="P815" s="1"/>
  <c r="O815" s="1"/>
  <c r="K815" s="1"/>
  <c r="H815" s="1"/>
  <c r="D711"/>
  <c r="Q711"/>
  <c r="M503"/>
  <c r="N503" s="1"/>
  <c r="P503" s="1"/>
  <c r="O503" s="1"/>
  <c r="K503" s="1"/>
  <c r="H503" s="1"/>
  <c r="D503"/>
  <c r="Q503"/>
  <c r="M814"/>
  <c r="N814" s="1"/>
  <c r="P814" s="1"/>
  <c r="O814" s="1"/>
  <c r="K814" s="1"/>
  <c r="H814" s="1"/>
  <c r="D710"/>
  <c r="Q710"/>
  <c r="M502"/>
  <c r="N502" s="1"/>
  <c r="P502" s="1"/>
  <c r="O502" s="1"/>
  <c r="K502" s="1"/>
  <c r="H502" s="1"/>
  <c r="D502"/>
  <c r="Q502"/>
  <c r="M813"/>
  <c r="N813" s="1"/>
  <c r="P813" s="1"/>
  <c r="O813" s="1"/>
  <c r="K813" s="1"/>
  <c r="H813" s="1"/>
  <c r="D709"/>
  <c r="Q709"/>
  <c r="M501"/>
  <c r="N501" s="1"/>
  <c r="P501" s="1"/>
  <c r="O501" s="1"/>
  <c r="K501" s="1"/>
  <c r="H501" s="1"/>
  <c r="D501"/>
  <c r="Q501"/>
  <c r="M812"/>
  <c r="N812" s="1"/>
  <c r="P812" s="1"/>
  <c r="O812" s="1"/>
  <c r="K812" s="1"/>
  <c r="H812" s="1"/>
  <c r="D708"/>
  <c r="Q708"/>
  <c r="M500"/>
  <c r="N500" s="1"/>
  <c r="P500" s="1"/>
  <c r="O500" s="1"/>
  <c r="K500" s="1"/>
  <c r="H500" s="1"/>
  <c r="D500"/>
  <c r="Q500"/>
  <c r="M811"/>
  <c r="N811" s="1"/>
  <c r="P811" s="1"/>
  <c r="O811" s="1"/>
  <c r="K811" s="1"/>
  <c r="H811" s="1"/>
  <c r="D707"/>
  <c r="Q707"/>
  <c r="M499"/>
  <c r="N499" s="1"/>
  <c r="P499" s="1"/>
  <c r="O499" s="1"/>
  <c r="K499" s="1"/>
  <c r="H499" s="1"/>
  <c r="D499"/>
  <c r="Q499"/>
  <c r="D706"/>
  <c r="Q706"/>
  <c r="Q602"/>
  <c r="D602"/>
  <c r="T604" s="1"/>
  <c r="T603" s="1"/>
  <c r="Q498"/>
  <c r="D498"/>
  <c r="M253"/>
  <c r="N253" s="1"/>
  <c r="P253" s="1"/>
  <c r="O253" s="1"/>
  <c r="K253" s="1"/>
  <c r="H253" s="1"/>
  <c r="D253"/>
  <c r="Q253"/>
  <c r="X253"/>
  <c r="X45"/>
  <c r="D45"/>
  <c r="Q45"/>
  <c r="M252"/>
  <c r="N252" s="1"/>
  <c r="P252" s="1"/>
  <c r="O252" s="1"/>
  <c r="K252" s="1"/>
  <c r="H252" s="1"/>
  <c r="Y252" s="1"/>
  <c r="D252"/>
  <c r="Q252"/>
  <c r="X252"/>
  <c r="D148"/>
  <c r="Q148"/>
  <c r="X148"/>
  <c r="M44"/>
  <c r="N44" s="1"/>
  <c r="P44" s="1"/>
  <c r="O44" s="1"/>
  <c r="K44" s="1"/>
  <c r="H44" s="1"/>
  <c r="M355"/>
  <c r="N355" s="1"/>
  <c r="P355" s="1"/>
  <c r="O355" s="1"/>
  <c r="K355" s="1"/>
  <c r="H355" s="1"/>
  <c r="Y355" s="1"/>
  <c r="D355"/>
  <c r="Q355"/>
  <c r="X355"/>
  <c r="M147"/>
  <c r="N147" s="1"/>
  <c r="P147" s="1"/>
  <c r="O147" s="1"/>
  <c r="K147" s="1"/>
  <c r="H147" s="1"/>
  <c r="D147"/>
  <c r="Q147"/>
  <c r="X147"/>
  <c r="M43"/>
  <c r="N43" s="1"/>
  <c r="P43" s="1"/>
  <c r="O43" s="1"/>
  <c r="K43" s="1"/>
  <c r="H43" s="1"/>
  <c r="X354"/>
  <c r="D354"/>
  <c r="Q354"/>
  <c r="M250"/>
  <c r="N250" s="1"/>
  <c r="P250" s="1"/>
  <c r="O250" s="1"/>
  <c r="K250" s="1"/>
  <c r="H250" s="1"/>
  <c r="X146"/>
  <c r="D146"/>
  <c r="Q146"/>
  <c r="M353"/>
  <c r="N353" s="1"/>
  <c r="P353" s="1"/>
  <c r="O353" s="1"/>
  <c r="K353" s="1"/>
  <c r="H353" s="1"/>
  <c r="Y353" s="1"/>
  <c r="D353"/>
  <c r="Q353"/>
  <c r="X353"/>
  <c r="M145"/>
  <c r="N145" s="1"/>
  <c r="P145" s="1"/>
  <c r="O145" s="1"/>
  <c r="K145" s="1"/>
  <c r="H145" s="1"/>
  <c r="D145"/>
  <c r="Q145"/>
  <c r="X145"/>
  <c r="M41"/>
  <c r="N41" s="1"/>
  <c r="P41" s="1"/>
  <c r="O41" s="1"/>
  <c r="K41" s="1"/>
  <c r="H41" s="1"/>
  <c r="D352"/>
  <c r="X352"/>
  <c r="Q352"/>
  <c r="M248"/>
  <c r="N248" s="1"/>
  <c r="P248" s="1"/>
  <c r="O248" s="1"/>
  <c r="K248" s="1"/>
  <c r="H248" s="1"/>
  <c r="X144"/>
  <c r="D144"/>
  <c r="Q144"/>
  <c r="X351"/>
  <c r="D351"/>
  <c r="Q351"/>
  <c r="X143"/>
  <c r="D143"/>
  <c r="Q143"/>
  <c r="M39"/>
  <c r="N39" s="1"/>
  <c r="P39" s="1"/>
  <c r="O39" s="1"/>
  <c r="K39" s="1"/>
  <c r="H39" s="1"/>
  <c r="M350"/>
  <c r="N350" s="1"/>
  <c r="P350" s="1"/>
  <c r="O350" s="1"/>
  <c r="K350" s="1"/>
  <c r="H350" s="1"/>
  <c r="D350"/>
  <c r="Q350"/>
  <c r="X350"/>
  <c r="M246"/>
  <c r="N246" s="1"/>
  <c r="P246" s="1"/>
  <c r="O246" s="1"/>
  <c r="K246" s="1"/>
  <c r="H246" s="1"/>
  <c r="M142"/>
  <c r="N142" s="1"/>
  <c r="P142" s="1"/>
  <c r="O142" s="1"/>
  <c r="K142" s="1"/>
  <c r="H142" s="1"/>
  <c r="D142"/>
  <c r="Q142"/>
  <c r="X142"/>
  <c r="X349"/>
  <c r="D349"/>
  <c r="Q349"/>
  <c r="X141"/>
  <c r="D141"/>
  <c r="Q141"/>
  <c r="M37"/>
  <c r="N37" s="1"/>
  <c r="P37" s="1"/>
  <c r="O37" s="1"/>
  <c r="K37" s="1"/>
  <c r="H37" s="1"/>
  <c r="M348"/>
  <c r="N348" s="1"/>
  <c r="P348" s="1"/>
  <c r="O348" s="1"/>
  <c r="K348" s="1"/>
  <c r="H348" s="1"/>
  <c r="D348"/>
  <c r="Q348"/>
  <c r="X348"/>
  <c r="M244"/>
  <c r="N244" s="1"/>
  <c r="P244" s="1"/>
  <c r="O244" s="1"/>
  <c r="K244" s="1"/>
  <c r="H244" s="1"/>
  <c r="M140"/>
  <c r="N140" s="1"/>
  <c r="P140" s="1"/>
  <c r="O140" s="1"/>
  <c r="K140" s="1"/>
  <c r="H140" s="1"/>
  <c r="D140"/>
  <c r="Q140"/>
  <c r="X140"/>
  <c r="X347"/>
  <c r="D347"/>
  <c r="Q347"/>
  <c r="X139"/>
  <c r="D139"/>
  <c r="Q139"/>
  <c r="M35"/>
  <c r="N35" s="1"/>
  <c r="P35" s="1"/>
  <c r="O35" s="1"/>
  <c r="K35" s="1"/>
  <c r="H35" s="1"/>
  <c r="M851"/>
  <c r="N851" s="1"/>
  <c r="P851" s="1"/>
  <c r="O851" s="1"/>
  <c r="K851" s="1"/>
  <c r="H851" s="1"/>
  <c r="Q747"/>
  <c r="M643"/>
  <c r="N643" s="1"/>
  <c r="P643" s="1"/>
  <c r="O643" s="1"/>
  <c r="K643" s="1"/>
  <c r="H643" s="1"/>
  <c r="Q539"/>
  <c r="M850"/>
  <c r="N850" s="1"/>
  <c r="P850" s="1"/>
  <c r="O850" s="1"/>
  <c r="K850" s="1"/>
  <c r="H850" s="1"/>
  <c r="Q746"/>
  <c r="M642"/>
  <c r="N642" s="1"/>
  <c r="P642" s="1"/>
  <c r="O642" s="1"/>
  <c r="K642" s="1"/>
  <c r="H642" s="1"/>
  <c r="Q538"/>
  <c r="M849"/>
  <c r="N849" s="1"/>
  <c r="P849" s="1"/>
  <c r="O849" s="1"/>
  <c r="K849" s="1"/>
  <c r="H849" s="1"/>
  <c r="Q745"/>
  <c r="M641"/>
  <c r="N641" s="1"/>
  <c r="P641" s="1"/>
  <c r="O641" s="1"/>
  <c r="K641" s="1"/>
  <c r="H641" s="1"/>
  <c r="Q537"/>
  <c r="M848"/>
  <c r="N848" s="1"/>
  <c r="P848" s="1"/>
  <c r="O848" s="1"/>
  <c r="K848" s="1"/>
  <c r="H848" s="1"/>
  <c r="Q744"/>
  <c r="M640"/>
  <c r="N640" s="1"/>
  <c r="P640" s="1"/>
  <c r="O640" s="1"/>
  <c r="K640" s="1"/>
  <c r="H640" s="1"/>
  <c r="Q536"/>
  <c r="M847"/>
  <c r="N847" s="1"/>
  <c r="P847" s="1"/>
  <c r="O847" s="1"/>
  <c r="K847" s="1"/>
  <c r="H847" s="1"/>
  <c r="Q535"/>
  <c r="L535"/>
  <c r="M846"/>
  <c r="N846" s="1"/>
  <c r="P846" s="1"/>
  <c r="O846" s="1"/>
  <c r="K846" s="1"/>
  <c r="H846" s="1"/>
  <c r="Q534"/>
  <c r="L534"/>
  <c r="M845"/>
  <c r="N845" s="1"/>
  <c r="P845" s="1"/>
  <c r="O845" s="1"/>
  <c r="K845" s="1"/>
  <c r="H845" s="1"/>
  <c r="Q533"/>
  <c r="L533"/>
  <c r="M844"/>
  <c r="N844" s="1"/>
  <c r="P844" s="1"/>
  <c r="O844" s="1"/>
  <c r="K844" s="1"/>
  <c r="H844" s="1"/>
  <c r="Q532"/>
  <c r="L532"/>
  <c r="M843"/>
  <c r="N843" s="1"/>
  <c r="P843" s="1"/>
  <c r="O843" s="1"/>
  <c r="K843" s="1"/>
  <c r="H843" s="1"/>
  <c r="S323" i="5"/>
  <c r="Y323"/>
  <c r="V323" s="1"/>
  <c r="T341" s="1"/>
  <c r="U341" s="1"/>
  <c r="S317"/>
  <c r="Y317"/>
  <c r="V317" s="1"/>
  <c r="T335" s="1"/>
  <c r="U335" s="1"/>
  <c r="S316"/>
  <c r="Y316"/>
  <c r="V316" s="1"/>
  <c r="T334" s="1"/>
  <c r="U334" s="1"/>
  <c r="S538"/>
  <c r="Y538"/>
  <c r="V538" s="1"/>
  <c r="T556" s="1"/>
  <c r="U556" s="1"/>
  <c r="S537"/>
  <c r="Y537"/>
  <c r="V537" s="1"/>
  <c r="T555" s="1"/>
  <c r="U555" s="1"/>
  <c r="S534"/>
  <c r="Y534"/>
  <c r="V534" s="1"/>
  <c r="T552" s="1"/>
  <c r="U552" s="1"/>
  <c r="S533"/>
  <c r="Y533"/>
  <c r="V533" s="1"/>
  <c r="T551" s="1"/>
  <c r="U551" s="1"/>
  <c r="S530"/>
  <c r="Y530"/>
  <c r="V530" s="1"/>
  <c r="T548" s="1"/>
  <c r="U548" s="1"/>
  <c r="S529"/>
  <c r="Y529"/>
  <c r="V529" s="1"/>
  <c r="T547" s="1"/>
  <c r="U547" s="1"/>
  <c r="S488"/>
  <c r="Y488"/>
  <c r="V488" s="1"/>
  <c r="T506" s="1"/>
  <c r="S779" i="6"/>
  <c r="V779" s="1"/>
  <c r="Y779"/>
  <c r="S775"/>
  <c r="V775" s="1"/>
  <c r="Y775"/>
  <c r="S128" i="5"/>
  <c r="Y128"/>
  <c r="V128" s="1"/>
  <c r="T146" s="1"/>
  <c r="S804" i="6"/>
  <c r="V804" s="1"/>
  <c r="AA778"/>
  <c r="S802"/>
  <c r="V802" s="1"/>
  <c r="AA776"/>
  <c r="S800"/>
  <c r="V800" s="1"/>
  <c r="AA774"/>
  <c r="S521"/>
  <c r="V521" s="1"/>
  <c r="Z469"/>
  <c r="S702"/>
  <c r="V702" s="1"/>
  <c r="AA676"/>
  <c r="S698"/>
  <c r="V698" s="1"/>
  <c r="AA672"/>
  <c r="S676"/>
  <c r="V676" s="1"/>
  <c r="Y676"/>
  <c r="S623"/>
  <c r="V623" s="1"/>
  <c r="Z571"/>
  <c r="S619"/>
  <c r="V619" s="1"/>
  <c r="Z567"/>
  <c r="S567"/>
  <c r="V567" s="1"/>
  <c r="Y567"/>
  <c r="S545"/>
  <c r="V545" s="1"/>
  <c r="AB467"/>
  <c r="S543"/>
  <c r="V543" s="1"/>
  <c r="AB465"/>
  <c r="S541"/>
  <c r="V541" s="1"/>
  <c r="AB463"/>
  <c r="S360"/>
  <c r="V360" s="1"/>
  <c r="Y360"/>
  <c r="S339"/>
  <c r="V339" s="1"/>
  <c r="AB261"/>
  <c r="S337"/>
  <c r="V337" s="1"/>
  <c r="AB259"/>
  <c r="S128"/>
  <c r="V128" s="1"/>
  <c r="AB50"/>
  <c r="S126"/>
  <c r="V126" s="1"/>
  <c r="AB48"/>
  <c r="S101"/>
  <c r="V101" s="1"/>
  <c r="Z49"/>
  <c r="S77"/>
  <c r="V77" s="1"/>
  <c r="AA51"/>
  <c r="S75"/>
  <c r="V75" s="1"/>
  <c r="AA49"/>
  <c r="S459" i="5"/>
  <c r="Y459"/>
  <c r="V459" s="1"/>
  <c r="T477" s="1"/>
  <c r="U477" s="1"/>
  <c r="S458"/>
  <c r="Y458"/>
  <c r="V458" s="1"/>
  <c r="T476" s="1"/>
  <c r="U476" s="1"/>
  <c r="S455"/>
  <c r="Y455"/>
  <c r="V455" s="1"/>
  <c r="T473" s="1"/>
  <c r="U473" s="1"/>
  <c r="S453"/>
  <c r="Y453"/>
  <c r="V453" s="1"/>
  <c r="T471" s="1"/>
  <c r="U471" s="1"/>
  <c r="S393"/>
  <c r="Y393"/>
  <c r="V393" s="1"/>
  <c r="T411" s="1"/>
  <c r="U411" s="1"/>
  <c r="S391"/>
  <c r="Y391"/>
  <c r="V391" s="1"/>
  <c r="T409" s="1"/>
  <c r="U409" s="1"/>
  <c r="S346"/>
  <c r="Y346"/>
  <c r="V346" s="1"/>
  <c r="T364" s="1"/>
  <c r="U364" s="1"/>
  <c r="S344"/>
  <c r="Y344"/>
  <c r="V344" s="1"/>
  <c r="T362" s="1"/>
  <c r="S318"/>
  <c r="Y318"/>
  <c r="V318" s="1"/>
  <c r="T336" s="1"/>
  <c r="U336" s="1"/>
  <c r="S315"/>
  <c r="Y315"/>
  <c r="V315" s="1"/>
  <c r="T333" s="1"/>
  <c r="U333" s="1"/>
  <c r="S312"/>
  <c r="Y312"/>
  <c r="V312" s="1"/>
  <c r="T330" s="1"/>
  <c r="U330" s="1"/>
  <c r="S311"/>
  <c r="Y311"/>
  <c r="V311" s="1"/>
  <c r="T329" s="1"/>
  <c r="U329" s="1"/>
  <c r="S418"/>
  <c r="Y418"/>
  <c r="V418" s="1"/>
  <c r="T436" s="1"/>
  <c r="U436" s="1"/>
  <c r="S416"/>
  <c r="Y416"/>
  <c r="V416" s="1"/>
  <c r="T434" s="1"/>
  <c r="S390"/>
  <c r="Y390"/>
  <c r="V390" s="1"/>
  <c r="T408" s="1"/>
  <c r="U408" s="1"/>
  <c r="S387"/>
  <c r="Y387"/>
  <c r="V387" s="1"/>
  <c r="T405" s="1"/>
  <c r="U405" s="1"/>
  <c r="S384"/>
  <c r="Y384"/>
  <c r="V384" s="1"/>
  <c r="T402" s="1"/>
  <c r="U402" s="1"/>
  <c r="S383"/>
  <c r="Y383"/>
  <c r="V383" s="1"/>
  <c r="T401" s="1"/>
  <c r="U401" s="1"/>
  <c r="S525"/>
  <c r="Y525"/>
  <c r="V525" s="1"/>
  <c r="T543" s="1"/>
  <c r="U543" s="1"/>
  <c r="S465"/>
  <c r="Y465"/>
  <c r="V465" s="1"/>
  <c r="T483" s="1"/>
  <c r="U483" s="1"/>
  <c r="S464"/>
  <c r="Y464"/>
  <c r="V464" s="1"/>
  <c r="T482" s="1"/>
  <c r="U482" s="1"/>
  <c r="S461"/>
  <c r="Y461"/>
  <c r="V461" s="1"/>
  <c r="T479" s="1"/>
  <c r="U479" s="1"/>
  <c r="S449"/>
  <c r="Y449"/>
  <c r="V449" s="1"/>
  <c r="S446"/>
  <c r="Y446"/>
  <c r="V446" s="1"/>
  <c r="S445"/>
  <c r="Y445"/>
  <c r="V445" s="1"/>
  <c r="S442"/>
  <c r="Y442"/>
  <c r="V442" s="1"/>
  <c r="S441"/>
  <c r="Y441"/>
  <c r="V441" s="1"/>
  <c r="S438"/>
  <c r="Y438"/>
  <c r="V438" s="1"/>
  <c r="S437"/>
  <c r="Y437"/>
  <c r="V437" s="1"/>
  <c r="S202"/>
  <c r="Y202"/>
  <c r="V202" s="1"/>
  <c r="T220" s="1"/>
  <c r="U220" s="1"/>
  <c r="S165"/>
  <c r="Y165"/>
  <c r="V165" s="1"/>
  <c r="T183" s="1"/>
  <c r="U183" s="1"/>
  <c r="S35"/>
  <c r="Y35"/>
  <c r="V35" s="1"/>
  <c r="T53" s="1"/>
  <c r="U53" s="1"/>
  <c r="S33"/>
  <c r="Y33"/>
  <c r="V33" s="1"/>
  <c r="T51" s="1"/>
  <c r="U51" s="1"/>
  <c r="S31"/>
  <c r="Y31"/>
  <c r="V31" s="1"/>
  <c r="T49" s="1"/>
  <c r="U49" s="1"/>
  <c r="S29"/>
  <c r="Y29"/>
  <c r="V29" s="1"/>
  <c r="T47" s="1"/>
  <c r="U47" s="1"/>
  <c r="S27"/>
  <c r="Y27"/>
  <c r="V27" s="1"/>
  <c r="T45" s="1"/>
  <c r="U45" s="1"/>
  <c r="S25"/>
  <c r="Y25"/>
  <c r="V25" s="1"/>
  <c r="T43" s="1"/>
  <c r="U43" s="1"/>
  <c r="S23"/>
  <c r="Y23"/>
  <c r="V23" s="1"/>
  <c r="T41" s="1"/>
  <c r="U41" s="1"/>
  <c r="S830" i="6"/>
  <c r="V830" s="1"/>
  <c r="Z778"/>
  <c r="S826"/>
  <c r="V826" s="1"/>
  <c r="Z774"/>
  <c r="S519"/>
  <c r="V519" s="1"/>
  <c r="Z467"/>
  <c r="S515"/>
  <c r="V515" s="1"/>
  <c r="Z463"/>
  <c r="S465"/>
  <c r="V465" s="1"/>
  <c r="Y465"/>
  <c r="S412"/>
  <c r="V412" s="1"/>
  <c r="Z360"/>
  <c r="S260"/>
  <c r="V260" s="1"/>
  <c r="Y260"/>
  <c r="S256"/>
  <c r="V256" s="1"/>
  <c r="Y256"/>
  <c r="S307"/>
  <c r="V307" s="1"/>
  <c r="Z255"/>
  <c r="S205"/>
  <c r="V205" s="1"/>
  <c r="Z153"/>
  <c r="S46"/>
  <c r="V46" s="1"/>
  <c r="Y46"/>
  <c r="S414"/>
  <c r="V414" s="1"/>
  <c r="Z362"/>
  <c r="S336"/>
  <c r="V336" s="1"/>
  <c r="AB258"/>
  <c r="S334"/>
  <c r="V334" s="1"/>
  <c r="AB256"/>
  <c r="S258"/>
  <c r="V258" s="1"/>
  <c r="Y258"/>
  <c r="S235"/>
  <c r="V235" s="1"/>
  <c r="AB157"/>
  <c r="S229"/>
  <c r="V229" s="1"/>
  <c r="AB151"/>
  <c r="S203"/>
  <c r="V203" s="1"/>
  <c r="Z151"/>
  <c r="S155"/>
  <c r="V155" s="1"/>
  <c r="Y155"/>
  <c r="S151"/>
  <c r="V151" s="1"/>
  <c r="Y151"/>
  <c r="S127"/>
  <c r="V127" s="1"/>
  <c r="AB49"/>
  <c r="S125"/>
  <c r="V125" s="1"/>
  <c r="AB47"/>
  <c r="S103"/>
  <c r="V103" s="1"/>
  <c r="Z51"/>
  <c r="S74"/>
  <c r="V74" s="1"/>
  <c r="AA48"/>
  <c r="S72"/>
  <c r="V72" s="1"/>
  <c r="AA46"/>
  <c r="S699"/>
  <c r="V699" s="1"/>
  <c r="AA673"/>
  <c r="S651"/>
  <c r="V651" s="1"/>
  <c r="AB573"/>
  <c r="S542"/>
  <c r="V542" s="1"/>
  <c r="AB464"/>
  <c r="S234"/>
  <c r="V234" s="1"/>
  <c r="AB156"/>
  <c r="S805"/>
  <c r="V805" s="1"/>
  <c r="AA779"/>
  <c r="S650"/>
  <c r="V650" s="1"/>
  <c r="AB572"/>
  <c r="S648"/>
  <c r="V648" s="1"/>
  <c r="AB570"/>
  <c r="S232"/>
  <c r="V232" s="1"/>
  <c r="AB154"/>
  <c r="L721"/>
  <c r="L513"/>
  <c r="L719"/>
  <c r="L511"/>
  <c r="L717"/>
  <c r="L509"/>
  <c r="L715"/>
  <c r="L507"/>
  <c r="L713"/>
  <c r="L505"/>
  <c r="L685"/>
  <c r="L477"/>
  <c r="L683"/>
  <c r="L475"/>
  <c r="L681"/>
  <c r="L473"/>
  <c r="L680"/>
  <c r="L472"/>
  <c r="L487"/>
  <c r="L486"/>
  <c r="L485"/>
  <c r="L484"/>
  <c r="L483"/>
  <c r="L482"/>
  <c r="F316"/>
  <c r="F212"/>
  <c r="F108"/>
  <c r="L706"/>
  <c r="F628"/>
  <c r="M635"/>
  <c r="N635" s="1"/>
  <c r="P635" s="1"/>
  <c r="O635" s="1"/>
  <c r="K635" s="1"/>
  <c r="H635" s="1"/>
  <c r="Q531"/>
  <c r="M842"/>
  <c r="N842" s="1"/>
  <c r="P842" s="1"/>
  <c r="O842" s="1"/>
  <c r="K842" s="1"/>
  <c r="H842" s="1"/>
  <c r="Q738"/>
  <c r="M634"/>
  <c r="N634" s="1"/>
  <c r="P634" s="1"/>
  <c r="O634" s="1"/>
  <c r="K634" s="1"/>
  <c r="H634" s="1"/>
  <c r="Q530"/>
  <c r="M789"/>
  <c r="N789" s="1"/>
  <c r="P789" s="1"/>
  <c r="O789" s="1"/>
  <c r="K789" s="1"/>
  <c r="H789" s="1"/>
  <c r="M581"/>
  <c r="N581" s="1"/>
  <c r="P581" s="1"/>
  <c r="O581" s="1"/>
  <c r="K581" s="1"/>
  <c r="H581" s="1"/>
  <c r="Q788"/>
  <c r="X814"/>
  <c r="X606"/>
  <c r="Q580"/>
  <c r="M787"/>
  <c r="N787" s="1"/>
  <c r="P787" s="1"/>
  <c r="O787" s="1"/>
  <c r="K787" s="1"/>
  <c r="H787" s="1"/>
  <c r="M579"/>
  <c r="N579" s="1"/>
  <c r="P579" s="1"/>
  <c r="O579" s="1"/>
  <c r="K579" s="1"/>
  <c r="H579" s="1"/>
  <c r="Q786"/>
  <c r="X812"/>
  <c r="X604"/>
  <c r="Q578"/>
  <c r="M785"/>
  <c r="N785" s="1"/>
  <c r="P785" s="1"/>
  <c r="O785" s="1"/>
  <c r="K785" s="1"/>
  <c r="H785" s="1"/>
  <c r="M577"/>
  <c r="N577" s="1"/>
  <c r="P577" s="1"/>
  <c r="O577" s="1"/>
  <c r="K577" s="1"/>
  <c r="H577" s="1"/>
  <c r="M784"/>
  <c r="N784" s="1"/>
  <c r="P784" s="1"/>
  <c r="O784" s="1"/>
  <c r="K784" s="1"/>
  <c r="H784" s="1"/>
  <c r="M576"/>
  <c r="N576" s="1"/>
  <c r="P576" s="1"/>
  <c r="O576" s="1"/>
  <c r="K576" s="1"/>
  <c r="H576" s="1"/>
  <c r="Q435"/>
  <c r="Q227"/>
  <c r="M434"/>
  <c r="N434" s="1"/>
  <c r="P434" s="1"/>
  <c r="O434" s="1"/>
  <c r="K434" s="1"/>
  <c r="H434" s="1"/>
  <c r="M226"/>
  <c r="N226" s="1"/>
  <c r="P226" s="1"/>
  <c r="O226" s="1"/>
  <c r="K226" s="1"/>
  <c r="H226" s="1"/>
  <c r="Q433"/>
  <c r="Q225"/>
  <c r="M432"/>
  <c r="N432" s="1"/>
  <c r="P432" s="1"/>
  <c r="O432" s="1"/>
  <c r="K432" s="1"/>
  <c r="H432" s="1"/>
  <c r="M224"/>
  <c r="N224" s="1"/>
  <c r="P224" s="1"/>
  <c r="O224" s="1"/>
  <c r="K224" s="1"/>
  <c r="H224" s="1"/>
  <c r="Q431"/>
  <c r="Q223"/>
  <c r="M430"/>
  <c r="N430" s="1"/>
  <c r="P430" s="1"/>
  <c r="O430" s="1"/>
  <c r="K430" s="1"/>
  <c r="H430" s="1"/>
  <c r="M222"/>
  <c r="N222" s="1"/>
  <c r="P222" s="1"/>
  <c r="O222" s="1"/>
  <c r="K222" s="1"/>
  <c r="H222" s="1"/>
  <c r="Q429"/>
  <c r="Q221"/>
  <c r="M428"/>
  <c r="N428" s="1"/>
  <c r="P428" s="1"/>
  <c r="O428" s="1"/>
  <c r="K428" s="1"/>
  <c r="H428" s="1"/>
  <c r="Q220"/>
  <c r="Q427"/>
  <c r="M219"/>
  <c r="N219" s="1"/>
  <c r="P219" s="1"/>
  <c r="O219" s="1"/>
  <c r="K219" s="1"/>
  <c r="H219" s="1"/>
  <c r="M426"/>
  <c r="N426" s="1"/>
  <c r="P426" s="1"/>
  <c r="O426" s="1"/>
  <c r="K426" s="1"/>
  <c r="H426" s="1"/>
  <c r="Q218"/>
  <c r="M773"/>
  <c r="N773" s="1"/>
  <c r="P773" s="1"/>
  <c r="O773" s="1"/>
  <c r="K773" s="1"/>
  <c r="H773" s="1"/>
  <c r="X669"/>
  <c r="D669"/>
  <c r="Q669"/>
  <c r="M461"/>
  <c r="N461" s="1"/>
  <c r="P461" s="1"/>
  <c r="O461" s="1"/>
  <c r="K461" s="1"/>
  <c r="H461" s="1"/>
  <c r="Y461" s="1"/>
  <c r="D461"/>
  <c r="Q461"/>
  <c r="X461"/>
  <c r="M772"/>
  <c r="N772" s="1"/>
  <c r="P772" s="1"/>
  <c r="O772" s="1"/>
  <c r="K772" s="1"/>
  <c r="H772" s="1"/>
  <c r="D668"/>
  <c r="Q668"/>
  <c r="X668"/>
  <c r="M460"/>
  <c r="N460" s="1"/>
  <c r="P460" s="1"/>
  <c r="O460" s="1"/>
  <c r="K460" s="1"/>
  <c r="H460" s="1"/>
  <c r="Y460" s="1"/>
  <c r="D460"/>
  <c r="Q460"/>
  <c r="X460"/>
  <c r="M771"/>
  <c r="N771" s="1"/>
  <c r="P771" s="1"/>
  <c r="O771" s="1"/>
  <c r="K771" s="1"/>
  <c r="H771" s="1"/>
  <c r="D667"/>
  <c r="Q667"/>
  <c r="X667"/>
  <c r="M459"/>
  <c r="N459" s="1"/>
  <c r="P459" s="1"/>
  <c r="O459" s="1"/>
  <c r="K459" s="1"/>
  <c r="H459" s="1"/>
  <c r="Y459" s="1"/>
  <c r="D459"/>
  <c r="Q459"/>
  <c r="X459"/>
  <c r="M666"/>
  <c r="N666" s="1"/>
  <c r="P666" s="1"/>
  <c r="O666" s="1"/>
  <c r="K666" s="1"/>
  <c r="H666" s="1"/>
  <c r="D666"/>
  <c r="Q666"/>
  <c r="X666"/>
  <c r="M562"/>
  <c r="N562" s="1"/>
  <c r="P562" s="1"/>
  <c r="O562" s="1"/>
  <c r="K562" s="1"/>
  <c r="H562" s="1"/>
  <c r="X458"/>
  <c r="D458"/>
  <c r="Q458"/>
  <c r="M769"/>
  <c r="N769" s="1"/>
  <c r="P769" s="1"/>
  <c r="O769" s="1"/>
  <c r="K769" s="1"/>
  <c r="H769" s="1"/>
  <c r="X665"/>
  <c r="D665"/>
  <c r="Q665"/>
  <c r="M457"/>
  <c r="N457" s="1"/>
  <c r="P457" s="1"/>
  <c r="O457" s="1"/>
  <c r="K457" s="1"/>
  <c r="H457" s="1"/>
  <c r="Y457" s="1"/>
  <c r="D457"/>
  <c r="Q457"/>
  <c r="X457"/>
  <c r="M664"/>
  <c r="N664" s="1"/>
  <c r="P664" s="1"/>
  <c r="O664" s="1"/>
  <c r="K664" s="1"/>
  <c r="H664" s="1"/>
  <c r="D664"/>
  <c r="Q664"/>
  <c r="X664"/>
  <c r="M560"/>
  <c r="N560" s="1"/>
  <c r="P560" s="1"/>
  <c r="O560" s="1"/>
  <c r="K560" s="1"/>
  <c r="H560" s="1"/>
  <c r="X456"/>
  <c r="D456"/>
  <c r="Q456"/>
  <c r="M767"/>
  <c r="N767" s="1"/>
  <c r="P767" s="1"/>
  <c r="O767" s="1"/>
  <c r="K767" s="1"/>
  <c r="H767" s="1"/>
  <c r="X663"/>
  <c r="D663"/>
  <c r="Q663"/>
  <c r="M455"/>
  <c r="N455" s="1"/>
  <c r="P455" s="1"/>
  <c r="O455" s="1"/>
  <c r="K455" s="1"/>
  <c r="H455" s="1"/>
  <c r="Y455" s="1"/>
  <c r="D455"/>
  <c r="Q455"/>
  <c r="X455"/>
  <c r="M662"/>
  <c r="N662" s="1"/>
  <c r="P662" s="1"/>
  <c r="O662" s="1"/>
  <c r="K662" s="1"/>
  <c r="H662" s="1"/>
  <c r="D662"/>
  <c r="Q662"/>
  <c r="X662"/>
  <c r="M558"/>
  <c r="N558" s="1"/>
  <c r="P558" s="1"/>
  <c r="O558" s="1"/>
  <c r="K558" s="1"/>
  <c r="H558" s="1"/>
  <c r="X454"/>
  <c r="D454"/>
  <c r="Q454"/>
  <c r="M765"/>
  <c r="N765" s="1"/>
  <c r="P765" s="1"/>
  <c r="O765" s="1"/>
  <c r="K765" s="1"/>
  <c r="H765" s="1"/>
  <c r="X661"/>
  <c r="D661"/>
  <c r="Q661"/>
  <c r="M453"/>
  <c r="N453" s="1"/>
  <c r="P453" s="1"/>
  <c r="O453" s="1"/>
  <c r="K453" s="1"/>
  <c r="H453" s="1"/>
  <c r="Y453" s="1"/>
  <c r="D453"/>
  <c r="Q453"/>
  <c r="X453"/>
  <c r="M660"/>
  <c r="N660" s="1"/>
  <c r="P660" s="1"/>
  <c r="O660" s="1"/>
  <c r="K660" s="1"/>
  <c r="H660" s="1"/>
  <c r="D660"/>
  <c r="Q660"/>
  <c r="X660"/>
  <c r="M556"/>
  <c r="N556" s="1"/>
  <c r="P556" s="1"/>
  <c r="O556" s="1"/>
  <c r="K556" s="1"/>
  <c r="H556" s="1"/>
  <c r="X452"/>
  <c r="D452"/>
  <c r="Q452"/>
  <c r="M659"/>
  <c r="N659" s="1"/>
  <c r="P659" s="1"/>
  <c r="O659" s="1"/>
  <c r="K659" s="1"/>
  <c r="H659" s="1"/>
  <c r="M451"/>
  <c r="N451" s="1"/>
  <c r="P451" s="1"/>
  <c r="O451" s="1"/>
  <c r="K451" s="1"/>
  <c r="H451" s="1"/>
  <c r="Y451" s="1"/>
  <c r="D451"/>
  <c r="Q451"/>
  <c r="X451"/>
  <c r="M658"/>
  <c r="N658" s="1"/>
  <c r="P658" s="1"/>
  <c r="O658" s="1"/>
  <c r="K658" s="1"/>
  <c r="H658" s="1"/>
  <c r="M450"/>
  <c r="N450" s="1"/>
  <c r="P450" s="1"/>
  <c r="O450" s="1"/>
  <c r="K450" s="1"/>
  <c r="H450" s="1"/>
  <c r="Y450" s="1"/>
  <c r="D450"/>
  <c r="Q450"/>
  <c r="X450"/>
  <c r="M657"/>
  <c r="N657" s="1"/>
  <c r="P657" s="1"/>
  <c r="O657" s="1"/>
  <c r="K657" s="1"/>
  <c r="H657" s="1"/>
  <c r="M449"/>
  <c r="N449" s="1"/>
  <c r="P449" s="1"/>
  <c r="O449" s="1"/>
  <c r="K449" s="1"/>
  <c r="H449" s="1"/>
  <c r="Y449" s="1"/>
  <c r="D449"/>
  <c r="Q449"/>
  <c r="X449"/>
  <c r="M656"/>
  <c r="N656" s="1"/>
  <c r="P656" s="1"/>
  <c r="O656" s="1"/>
  <c r="K656" s="1"/>
  <c r="H656" s="1"/>
  <c r="M448"/>
  <c r="N448" s="1"/>
  <c r="P448" s="1"/>
  <c r="O448" s="1"/>
  <c r="K448" s="1"/>
  <c r="H448" s="1"/>
  <c r="Y448" s="1"/>
  <c r="D448"/>
  <c r="Q448"/>
  <c r="X448"/>
  <c r="X447"/>
  <c r="D447"/>
  <c r="Q447"/>
  <c r="Q654"/>
  <c r="X654"/>
  <c r="D654"/>
  <c r="M305"/>
  <c r="N305" s="1"/>
  <c r="P305" s="1"/>
  <c r="O305" s="1"/>
  <c r="K305" s="1"/>
  <c r="H305" s="1"/>
  <c r="D305"/>
  <c r="Q305"/>
  <c r="D304"/>
  <c r="Q304"/>
  <c r="M96"/>
  <c r="N96" s="1"/>
  <c r="P96" s="1"/>
  <c r="O96" s="1"/>
  <c r="K96" s="1"/>
  <c r="H96" s="1"/>
  <c r="M303"/>
  <c r="N303" s="1"/>
  <c r="P303" s="1"/>
  <c r="O303" s="1"/>
  <c r="K303" s="1"/>
  <c r="H303" s="1"/>
  <c r="D303"/>
  <c r="Q303"/>
  <c r="D302"/>
  <c r="Q302"/>
  <c r="M94"/>
  <c r="N94" s="1"/>
  <c r="P94" s="1"/>
  <c r="O94" s="1"/>
  <c r="K94" s="1"/>
  <c r="H94" s="1"/>
  <c r="M301"/>
  <c r="N301" s="1"/>
  <c r="P301" s="1"/>
  <c r="O301" s="1"/>
  <c r="K301" s="1"/>
  <c r="H301" s="1"/>
  <c r="D301"/>
  <c r="Q301"/>
  <c r="D300"/>
  <c r="Q300"/>
  <c r="M92"/>
  <c r="N92" s="1"/>
  <c r="P92" s="1"/>
  <c r="O92" s="1"/>
  <c r="K92" s="1"/>
  <c r="H92" s="1"/>
  <c r="M299"/>
  <c r="N299" s="1"/>
  <c r="P299" s="1"/>
  <c r="O299" s="1"/>
  <c r="K299" s="1"/>
  <c r="H299" s="1"/>
  <c r="D299"/>
  <c r="Q299"/>
  <c r="D298"/>
  <c r="Q298"/>
  <c r="M90"/>
  <c r="N90" s="1"/>
  <c r="P90" s="1"/>
  <c r="O90" s="1"/>
  <c r="K90" s="1"/>
  <c r="H90" s="1"/>
  <c r="M297"/>
  <c r="N297" s="1"/>
  <c r="P297" s="1"/>
  <c r="O297" s="1"/>
  <c r="K297" s="1"/>
  <c r="H297" s="1"/>
  <c r="D297"/>
  <c r="Q297"/>
  <c r="D296"/>
  <c r="Q296"/>
  <c r="M88"/>
  <c r="N88" s="1"/>
  <c r="P88" s="1"/>
  <c r="O88" s="1"/>
  <c r="K88" s="1"/>
  <c r="H88" s="1"/>
  <c r="D399"/>
  <c r="Q399"/>
  <c r="M191"/>
  <c r="N191" s="1"/>
  <c r="P191" s="1"/>
  <c r="O191" s="1"/>
  <c r="K191" s="1"/>
  <c r="H191" s="1"/>
  <c r="D191"/>
  <c r="Q191"/>
  <c r="D398"/>
  <c r="Q398"/>
  <c r="M190"/>
  <c r="N190" s="1"/>
  <c r="P190" s="1"/>
  <c r="O190" s="1"/>
  <c r="K190" s="1"/>
  <c r="H190" s="1"/>
  <c r="D190"/>
  <c r="Q190"/>
  <c r="D397"/>
  <c r="Q397"/>
  <c r="M189"/>
  <c r="N189" s="1"/>
  <c r="P189" s="1"/>
  <c r="O189" s="1"/>
  <c r="K189" s="1"/>
  <c r="H189" s="1"/>
  <c r="D189"/>
  <c r="Q189"/>
  <c r="D396"/>
  <c r="Q396"/>
  <c r="M188"/>
  <c r="N188" s="1"/>
  <c r="P188" s="1"/>
  <c r="O188" s="1"/>
  <c r="K188" s="1"/>
  <c r="H188" s="1"/>
  <c r="D188"/>
  <c r="Q188"/>
  <c r="D395"/>
  <c r="Q395"/>
  <c r="M187"/>
  <c r="N187" s="1"/>
  <c r="P187" s="1"/>
  <c r="O187" s="1"/>
  <c r="K187" s="1"/>
  <c r="H187" s="1"/>
  <c r="D187"/>
  <c r="Q187"/>
  <c r="D394"/>
  <c r="Q394"/>
  <c r="Q290"/>
  <c r="D290"/>
  <c r="Q186"/>
  <c r="D186"/>
  <c r="T188" s="1"/>
  <c r="T187" s="1"/>
  <c r="Q82"/>
  <c r="D82"/>
  <c r="M841"/>
  <c r="N841" s="1"/>
  <c r="P841" s="1"/>
  <c r="O841" s="1"/>
  <c r="K841" s="1"/>
  <c r="H841" s="1"/>
  <c r="Q737"/>
  <c r="M633"/>
  <c r="N633" s="1"/>
  <c r="P633" s="1"/>
  <c r="O633" s="1"/>
  <c r="K633" s="1"/>
  <c r="H633" s="1"/>
  <c r="Q529"/>
  <c r="M840"/>
  <c r="N840" s="1"/>
  <c r="P840" s="1"/>
  <c r="O840" s="1"/>
  <c r="K840" s="1"/>
  <c r="H840" s="1"/>
  <c r="Q736"/>
  <c r="M632"/>
  <c r="N632" s="1"/>
  <c r="P632" s="1"/>
  <c r="O632" s="1"/>
  <c r="K632" s="1"/>
  <c r="H632" s="1"/>
  <c r="Q528"/>
  <c r="M839"/>
  <c r="N839" s="1"/>
  <c r="P839" s="1"/>
  <c r="O839" s="1"/>
  <c r="K839" s="1"/>
  <c r="H839" s="1"/>
  <c r="Q735"/>
  <c r="M631"/>
  <c r="N631" s="1"/>
  <c r="P631" s="1"/>
  <c r="O631" s="1"/>
  <c r="K631" s="1"/>
  <c r="H631" s="1"/>
  <c r="Q527"/>
  <c r="M838"/>
  <c r="N838" s="1"/>
  <c r="P838" s="1"/>
  <c r="O838" s="1"/>
  <c r="K838" s="1"/>
  <c r="H838" s="1"/>
  <c r="Q734"/>
  <c r="M630"/>
  <c r="N630" s="1"/>
  <c r="P630" s="1"/>
  <c r="O630" s="1"/>
  <c r="K630" s="1"/>
  <c r="H630" s="1"/>
  <c r="Q526"/>
  <c r="M837"/>
  <c r="N837" s="1"/>
  <c r="P837" s="1"/>
  <c r="O837" s="1"/>
  <c r="K837" s="1"/>
  <c r="H837" s="1"/>
  <c r="Q733"/>
  <c r="M629"/>
  <c r="N629" s="1"/>
  <c r="P629" s="1"/>
  <c r="O629" s="1"/>
  <c r="K629" s="1"/>
  <c r="H629" s="1"/>
  <c r="Q525"/>
  <c r="Q836"/>
  <c r="M732"/>
  <c r="N732" s="1"/>
  <c r="P732" s="1"/>
  <c r="O732" s="1"/>
  <c r="K732" s="1"/>
  <c r="H732" s="1"/>
  <c r="M628"/>
  <c r="N628" s="1"/>
  <c r="P628" s="1"/>
  <c r="O628" s="1"/>
  <c r="K628" s="1"/>
  <c r="H628" s="1"/>
  <c r="M524"/>
  <c r="N524" s="1"/>
  <c r="P524" s="1"/>
  <c r="O524" s="1"/>
  <c r="K524" s="1"/>
  <c r="H524" s="1"/>
  <c r="M383"/>
  <c r="N383" s="1"/>
  <c r="P383" s="1"/>
  <c r="O383" s="1"/>
  <c r="K383" s="1"/>
  <c r="H383" s="1"/>
  <c r="M279"/>
  <c r="N279" s="1"/>
  <c r="P279" s="1"/>
  <c r="O279" s="1"/>
  <c r="K279" s="1"/>
  <c r="H279" s="1"/>
  <c r="Q175"/>
  <c r="X201"/>
  <c r="Q71"/>
  <c r="X97"/>
  <c r="M382"/>
  <c r="N382" s="1"/>
  <c r="P382" s="1"/>
  <c r="O382" s="1"/>
  <c r="K382" s="1"/>
  <c r="H382" s="1"/>
  <c r="M278"/>
  <c r="N278" s="1"/>
  <c r="P278" s="1"/>
  <c r="O278" s="1"/>
  <c r="K278" s="1"/>
  <c r="H278" s="1"/>
  <c r="X200"/>
  <c r="Q174"/>
  <c r="Q70"/>
  <c r="X96"/>
  <c r="M381"/>
  <c r="N381" s="1"/>
  <c r="P381" s="1"/>
  <c r="O381" s="1"/>
  <c r="K381" s="1"/>
  <c r="H381" s="1"/>
  <c r="M277"/>
  <c r="N277" s="1"/>
  <c r="P277" s="1"/>
  <c r="O277" s="1"/>
  <c r="K277" s="1"/>
  <c r="H277" s="1"/>
  <c r="Q173"/>
  <c r="X199"/>
  <c r="Q69"/>
  <c r="X95"/>
  <c r="M380"/>
  <c r="N380" s="1"/>
  <c r="P380" s="1"/>
  <c r="O380" s="1"/>
  <c r="K380" s="1"/>
  <c r="H380" s="1"/>
  <c r="M276"/>
  <c r="N276" s="1"/>
  <c r="P276" s="1"/>
  <c r="O276" s="1"/>
  <c r="K276" s="1"/>
  <c r="H276" s="1"/>
  <c r="X198"/>
  <c r="Q172"/>
  <c r="Q68"/>
  <c r="X94"/>
  <c r="M379"/>
  <c r="N379" s="1"/>
  <c r="P379" s="1"/>
  <c r="O379" s="1"/>
  <c r="K379" s="1"/>
  <c r="H379" s="1"/>
  <c r="M275"/>
  <c r="N275" s="1"/>
  <c r="P275" s="1"/>
  <c r="O275" s="1"/>
  <c r="K275" s="1"/>
  <c r="H275" s="1"/>
  <c r="Q171"/>
  <c r="X197"/>
  <c r="Q67"/>
  <c r="X93"/>
  <c r="M378"/>
  <c r="N378" s="1"/>
  <c r="P378" s="1"/>
  <c r="O378" s="1"/>
  <c r="K378" s="1"/>
  <c r="H378" s="1"/>
  <c r="M274"/>
  <c r="N274" s="1"/>
  <c r="P274" s="1"/>
  <c r="O274" s="1"/>
  <c r="K274" s="1"/>
  <c r="H274" s="1"/>
  <c r="X196"/>
  <c r="Q170"/>
  <c r="Q66"/>
  <c r="X92"/>
  <c r="M377"/>
  <c r="N377" s="1"/>
  <c r="P377" s="1"/>
  <c r="O377" s="1"/>
  <c r="K377" s="1"/>
  <c r="H377" s="1"/>
  <c r="M273"/>
  <c r="N273" s="1"/>
  <c r="P273" s="1"/>
  <c r="O273" s="1"/>
  <c r="K273" s="1"/>
  <c r="H273" s="1"/>
  <c r="Q169"/>
  <c r="X195"/>
  <c r="Q65"/>
  <c r="X91"/>
  <c r="M376"/>
  <c r="N376" s="1"/>
  <c r="P376" s="1"/>
  <c r="O376" s="1"/>
  <c r="K376" s="1"/>
  <c r="H376" s="1"/>
  <c r="M272"/>
  <c r="N272" s="1"/>
  <c r="P272" s="1"/>
  <c r="O272" s="1"/>
  <c r="K272" s="1"/>
  <c r="H272" s="1"/>
  <c r="X194"/>
  <c r="Q168"/>
  <c r="Q64"/>
  <c r="X90"/>
  <c r="M375"/>
  <c r="N375" s="1"/>
  <c r="P375" s="1"/>
  <c r="O375" s="1"/>
  <c r="K375" s="1"/>
  <c r="H375" s="1"/>
  <c r="M271"/>
  <c r="N271" s="1"/>
  <c r="P271" s="1"/>
  <c r="O271" s="1"/>
  <c r="K271" s="1"/>
  <c r="H271" s="1"/>
  <c r="Q167"/>
  <c r="X193"/>
  <c r="Q63"/>
  <c r="X89"/>
  <c r="M374"/>
  <c r="N374" s="1"/>
  <c r="P374" s="1"/>
  <c r="O374" s="1"/>
  <c r="K374" s="1"/>
  <c r="H374" s="1"/>
  <c r="M270"/>
  <c r="N270" s="1"/>
  <c r="P270" s="1"/>
  <c r="O270" s="1"/>
  <c r="K270" s="1"/>
  <c r="H270" s="1"/>
  <c r="X192"/>
  <c r="Q166"/>
  <c r="Q62"/>
  <c r="X88"/>
  <c r="M373"/>
  <c r="N373" s="1"/>
  <c r="P373" s="1"/>
  <c r="O373" s="1"/>
  <c r="K373" s="1"/>
  <c r="H373" s="1"/>
  <c r="M269"/>
  <c r="N269" s="1"/>
  <c r="P269" s="1"/>
  <c r="O269" s="1"/>
  <c r="K269" s="1"/>
  <c r="H269" s="1"/>
  <c r="Q165"/>
  <c r="X191"/>
  <c r="Q61"/>
  <c r="X87"/>
  <c r="M372"/>
  <c r="N372" s="1"/>
  <c r="P372" s="1"/>
  <c r="O372" s="1"/>
  <c r="K372" s="1"/>
  <c r="H372" s="1"/>
  <c r="M268"/>
  <c r="N268" s="1"/>
  <c r="P268" s="1"/>
  <c r="O268" s="1"/>
  <c r="K268" s="1"/>
  <c r="H268" s="1"/>
  <c r="X190"/>
  <c r="Q164"/>
  <c r="Q60"/>
  <c r="X86"/>
  <c r="M371"/>
  <c r="N371" s="1"/>
  <c r="P371" s="1"/>
  <c r="O371" s="1"/>
  <c r="K371" s="1"/>
  <c r="H371" s="1"/>
  <c r="M267"/>
  <c r="N267" s="1"/>
  <c r="P267" s="1"/>
  <c r="O267" s="1"/>
  <c r="K267" s="1"/>
  <c r="H267" s="1"/>
  <c r="X189"/>
  <c r="Q163"/>
  <c r="Q59"/>
  <c r="X85"/>
  <c r="M370"/>
  <c r="N370" s="1"/>
  <c r="P370" s="1"/>
  <c r="O370" s="1"/>
  <c r="K370" s="1"/>
  <c r="H370" s="1"/>
  <c r="M266"/>
  <c r="N266" s="1"/>
  <c r="P266" s="1"/>
  <c r="O266" s="1"/>
  <c r="K266" s="1"/>
  <c r="H266" s="1"/>
  <c r="X188"/>
  <c r="Q162"/>
  <c r="Q58"/>
  <c r="X84"/>
  <c r="M369"/>
  <c r="N369" s="1"/>
  <c r="P369" s="1"/>
  <c r="O369" s="1"/>
  <c r="K369" s="1"/>
  <c r="H369" s="1"/>
  <c r="M265"/>
  <c r="N265" s="1"/>
  <c r="P265" s="1"/>
  <c r="O265" s="1"/>
  <c r="K265" s="1"/>
  <c r="H265" s="1"/>
  <c r="X187"/>
  <c r="Q161"/>
  <c r="Q57"/>
  <c r="X83"/>
  <c r="Q368"/>
  <c r="X394"/>
  <c r="Q264"/>
  <c r="X290"/>
  <c r="M160"/>
  <c r="N160" s="1"/>
  <c r="P160" s="1"/>
  <c r="O160" s="1"/>
  <c r="K160" s="1"/>
  <c r="H160" s="1"/>
  <c r="Q56"/>
  <c r="X82"/>
  <c r="K304" i="5"/>
  <c r="H304" s="1"/>
  <c r="M304"/>
  <c r="N304" s="1"/>
  <c r="P304" s="1"/>
  <c r="O304" s="1"/>
  <c r="M302"/>
  <c r="N302" s="1"/>
  <c r="P302" s="1"/>
  <c r="O302" s="1"/>
  <c r="K302" s="1"/>
  <c r="H302" s="1"/>
  <c r="M300"/>
  <c r="N300" s="1"/>
  <c r="P300" s="1"/>
  <c r="O300" s="1"/>
  <c r="K300" s="1"/>
  <c r="H300" s="1"/>
  <c r="M298"/>
  <c r="N298" s="1"/>
  <c r="P298" s="1"/>
  <c r="O298" s="1"/>
  <c r="K298" s="1"/>
  <c r="H298" s="1"/>
  <c r="M296"/>
  <c r="N296" s="1"/>
  <c r="P296" s="1"/>
  <c r="O296" s="1"/>
  <c r="K296" s="1"/>
  <c r="H296" s="1"/>
  <c r="M346" i="6"/>
  <c r="N346" s="1"/>
  <c r="P346" s="1"/>
  <c r="O346" s="1"/>
  <c r="K346" s="1"/>
  <c r="H346" s="1"/>
  <c r="M242"/>
  <c r="N242" s="1"/>
  <c r="P242" s="1"/>
  <c r="O242" s="1"/>
  <c r="K242" s="1"/>
  <c r="H242" s="1"/>
  <c r="D242"/>
  <c r="Q242"/>
  <c r="X242"/>
  <c r="M138"/>
  <c r="N138" s="1"/>
  <c r="P138" s="1"/>
  <c r="O138" s="1"/>
  <c r="K138" s="1"/>
  <c r="H138" s="1"/>
  <c r="D34"/>
  <c r="Q34"/>
  <c r="X34"/>
  <c r="M345"/>
  <c r="N345" s="1"/>
  <c r="P345" s="1"/>
  <c r="O345" s="1"/>
  <c r="K345" s="1"/>
  <c r="H345" s="1"/>
  <c r="M241"/>
  <c r="N241" s="1"/>
  <c r="P241" s="1"/>
  <c r="O241" s="1"/>
  <c r="K241" s="1"/>
  <c r="H241" s="1"/>
  <c r="Y241" s="1"/>
  <c r="D241"/>
  <c r="Q241"/>
  <c r="X241"/>
  <c r="M137"/>
  <c r="N137" s="1"/>
  <c r="P137" s="1"/>
  <c r="O137" s="1"/>
  <c r="K137" s="1"/>
  <c r="H137" s="1"/>
  <c r="D33"/>
  <c r="Q33"/>
  <c r="X33"/>
  <c r="M344"/>
  <c r="N344" s="1"/>
  <c r="P344" s="1"/>
  <c r="O344" s="1"/>
  <c r="K344" s="1"/>
  <c r="H344" s="1"/>
  <c r="M240"/>
  <c r="N240" s="1"/>
  <c r="P240" s="1"/>
  <c r="O240" s="1"/>
  <c r="K240" s="1"/>
  <c r="H240" s="1"/>
  <c r="D240"/>
  <c r="Q240"/>
  <c r="X240"/>
  <c r="M136"/>
  <c r="N136" s="1"/>
  <c r="P136" s="1"/>
  <c r="O136" s="1"/>
  <c r="K136" s="1"/>
  <c r="H136" s="1"/>
  <c r="D32"/>
  <c r="Q32"/>
  <c r="X32"/>
  <c r="X239"/>
  <c r="Q239"/>
  <c r="D239"/>
  <c r="M31"/>
  <c r="N31" s="1"/>
  <c r="P31" s="1"/>
  <c r="O31" s="1"/>
  <c r="K31" s="1"/>
  <c r="H31" s="1"/>
  <c r="D31"/>
  <c r="Q31"/>
  <c r="X31"/>
  <c r="Q342"/>
  <c r="X342"/>
  <c r="D342"/>
  <c r="M238"/>
  <c r="N238" s="1"/>
  <c r="P238" s="1"/>
  <c r="O238" s="1"/>
  <c r="K238" s="1"/>
  <c r="H238" s="1"/>
  <c r="Q134"/>
  <c r="X134"/>
  <c r="D134"/>
  <c r="Q30"/>
  <c r="X30"/>
  <c r="T32" s="1"/>
  <c r="D30"/>
  <c r="H26" i="4"/>
  <c r="H24"/>
  <c r="H22"/>
  <c r="H20"/>
  <c r="J26"/>
  <c r="J24"/>
  <c r="J22"/>
  <c r="J20"/>
  <c r="H27"/>
  <c r="H25"/>
  <c r="H23"/>
  <c r="H21"/>
  <c r="H19"/>
  <c r="H18"/>
  <c r="H17"/>
  <c r="H16"/>
  <c r="H15"/>
  <c r="H14"/>
  <c r="H13"/>
  <c r="H12"/>
  <c r="H11"/>
  <c r="H10"/>
  <c r="H9"/>
  <c r="H8"/>
  <c r="H7"/>
  <c r="H6"/>
  <c r="H5"/>
  <c r="H4"/>
  <c r="J27"/>
  <c r="J25"/>
  <c r="J23"/>
  <c r="J21"/>
  <c r="J19"/>
  <c r="J18"/>
  <c r="J17"/>
  <c r="J16"/>
  <c r="J15"/>
  <c r="J14"/>
  <c r="J13"/>
  <c r="J12"/>
  <c r="J11"/>
  <c r="J10"/>
  <c r="J9"/>
  <c r="J8"/>
  <c r="J7"/>
  <c r="J6"/>
  <c r="J5"/>
  <c r="J4"/>
  <c r="M280" i="5"/>
  <c r="N280" s="1"/>
  <c r="P280" s="1"/>
  <c r="O280" s="1"/>
  <c r="K280" s="1"/>
  <c r="H280" s="1"/>
  <c r="M277"/>
  <c r="N277" s="1"/>
  <c r="P277" s="1"/>
  <c r="O277" s="1"/>
  <c r="K277" s="1"/>
  <c r="H277" s="1"/>
  <c r="M273"/>
  <c r="N273" s="1"/>
  <c r="P273" s="1"/>
  <c r="O273" s="1"/>
  <c r="K273" s="1"/>
  <c r="H273" s="1"/>
  <c r="M351"/>
  <c r="N351" s="1"/>
  <c r="P351" s="1"/>
  <c r="O351" s="1"/>
  <c r="K351" s="1"/>
  <c r="H351" s="1"/>
  <c r="M347"/>
  <c r="N347" s="1"/>
  <c r="P347" s="1"/>
  <c r="O347" s="1"/>
  <c r="K347" s="1"/>
  <c r="H347" s="1"/>
  <c r="M287"/>
  <c r="N287" s="1"/>
  <c r="P287" s="1"/>
  <c r="O287" s="1"/>
  <c r="K287" s="1"/>
  <c r="H287" s="1"/>
  <c r="M285"/>
  <c r="N285" s="1"/>
  <c r="P285" s="1"/>
  <c r="O285" s="1"/>
  <c r="K285" s="1"/>
  <c r="H285" s="1"/>
  <c r="M283"/>
  <c r="N283" s="1"/>
  <c r="P283" s="1"/>
  <c r="O283" s="1"/>
  <c r="K283" s="1"/>
  <c r="H283" s="1"/>
  <c r="M281"/>
  <c r="N281" s="1"/>
  <c r="P281" s="1"/>
  <c r="O281" s="1"/>
  <c r="K281" s="1"/>
  <c r="H281" s="1"/>
  <c r="M276"/>
  <c r="N276" s="1"/>
  <c r="P276" s="1"/>
  <c r="O276" s="1"/>
  <c r="K276" s="1"/>
  <c r="H276" s="1"/>
  <c r="L74" i="2"/>
  <c r="M74"/>
  <c r="L78"/>
  <c r="M78"/>
  <c r="M75"/>
  <c r="L75"/>
  <c r="M561" i="5"/>
  <c r="N561" s="1"/>
  <c r="P561" s="1"/>
  <c r="O561" s="1"/>
  <c r="K561" s="1"/>
  <c r="H561" s="1"/>
  <c r="M526"/>
  <c r="N526" s="1"/>
  <c r="P526" s="1"/>
  <c r="O526" s="1"/>
  <c r="K526" s="1"/>
  <c r="H526" s="1"/>
  <c r="M503"/>
  <c r="N503" s="1"/>
  <c r="P503" s="1"/>
  <c r="O503" s="1"/>
  <c r="K503" s="1"/>
  <c r="H503" s="1"/>
  <c r="M501"/>
  <c r="N501" s="1"/>
  <c r="P501" s="1"/>
  <c r="O501" s="1"/>
  <c r="K501" s="1"/>
  <c r="H501" s="1"/>
  <c r="M499"/>
  <c r="N499" s="1"/>
  <c r="P499" s="1"/>
  <c r="O499" s="1"/>
  <c r="K499" s="1"/>
  <c r="H499" s="1"/>
  <c r="M497"/>
  <c r="N497" s="1"/>
  <c r="P497" s="1"/>
  <c r="O497" s="1"/>
  <c r="K497" s="1"/>
  <c r="H497" s="1"/>
  <c r="M495"/>
  <c r="N495" s="1"/>
  <c r="P495" s="1"/>
  <c r="O495" s="1"/>
  <c r="K495" s="1"/>
  <c r="H495" s="1"/>
  <c r="M493"/>
  <c r="N493" s="1"/>
  <c r="P493" s="1"/>
  <c r="O493" s="1"/>
  <c r="K493" s="1"/>
  <c r="H493" s="1"/>
  <c r="M491"/>
  <c r="N491" s="1"/>
  <c r="P491" s="1"/>
  <c r="O491" s="1"/>
  <c r="K491" s="1"/>
  <c r="H491" s="1"/>
  <c r="M201"/>
  <c r="N201" s="1"/>
  <c r="P201" s="1"/>
  <c r="O201" s="1"/>
  <c r="K201" s="1"/>
  <c r="H201" s="1"/>
  <c r="M166"/>
  <c r="N166" s="1"/>
  <c r="P166" s="1"/>
  <c r="O166" s="1"/>
  <c r="K166" s="1"/>
  <c r="H166" s="1"/>
  <c r="T169"/>
  <c r="M143"/>
  <c r="N143" s="1"/>
  <c r="P143" s="1"/>
  <c r="O143" s="1"/>
  <c r="K143" s="1"/>
  <c r="H143" s="1"/>
  <c r="M141"/>
  <c r="N141" s="1"/>
  <c r="P141" s="1"/>
  <c r="O141" s="1"/>
  <c r="K141" s="1"/>
  <c r="H141" s="1"/>
  <c r="M139"/>
  <c r="N139" s="1"/>
  <c r="P139" s="1"/>
  <c r="O139" s="1"/>
  <c r="K139" s="1"/>
  <c r="H139" s="1"/>
  <c r="M137"/>
  <c r="N137" s="1"/>
  <c r="P137" s="1"/>
  <c r="O137" s="1"/>
  <c r="K137" s="1"/>
  <c r="H137" s="1"/>
  <c r="M135"/>
  <c r="N135" s="1"/>
  <c r="P135" s="1"/>
  <c r="O135" s="1"/>
  <c r="K135" s="1"/>
  <c r="H135" s="1"/>
  <c r="M133"/>
  <c r="N133" s="1"/>
  <c r="P133" s="1"/>
  <c r="O133" s="1"/>
  <c r="K133" s="1"/>
  <c r="H133" s="1"/>
  <c r="M131"/>
  <c r="N131" s="1"/>
  <c r="P131" s="1"/>
  <c r="O131" s="1"/>
  <c r="K131" s="1"/>
  <c r="H131" s="1"/>
  <c r="M59"/>
  <c r="N59" s="1"/>
  <c r="P59" s="1"/>
  <c r="O59" s="1"/>
  <c r="K59" s="1"/>
  <c r="H59" s="1"/>
  <c r="S625" i="6"/>
  <c r="V625" s="1"/>
  <c r="Z573"/>
  <c r="S621"/>
  <c r="V621" s="1"/>
  <c r="Z569"/>
  <c r="S573"/>
  <c r="V573" s="1"/>
  <c r="Y573"/>
  <c r="M701"/>
  <c r="N701" s="1"/>
  <c r="P701" s="1"/>
  <c r="O701" s="1"/>
  <c r="K701" s="1"/>
  <c r="H701" s="1"/>
  <c r="M649"/>
  <c r="N649" s="1"/>
  <c r="P649" s="1"/>
  <c r="O649" s="1"/>
  <c r="K649" s="1"/>
  <c r="H649" s="1"/>
  <c r="M646"/>
  <c r="N646" s="1"/>
  <c r="P646" s="1"/>
  <c r="O646" s="1"/>
  <c r="K646" s="1"/>
  <c r="H646" s="1"/>
  <c r="M389"/>
  <c r="N389" s="1"/>
  <c r="P389" s="1"/>
  <c r="O389" s="1"/>
  <c r="K389" s="1"/>
  <c r="H389" s="1"/>
  <c r="M228"/>
  <c r="N228" s="1"/>
  <c r="P228" s="1"/>
  <c r="O228" s="1"/>
  <c r="K228" s="1"/>
  <c r="H228" s="1"/>
  <c r="Y452" i="5"/>
  <c r="V452" s="1"/>
  <c r="T470" s="1"/>
  <c r="T457"/>
  <c r="M423"/>
  <c r="N423" s="1"/>
  <c r="P423" s="1"/>
  <c r="O423" s="1"/>
  <c r="K423" s="1"/>
  <c r="H423" s="1"/>
  <c r="M419"/>
  <c r="N419" s="1"/>
  <c r="P419" s="1"/>
  <c r="O419" s="1"/>
  <c r="K419" s="1"/>
  <c r="H419" s="1"/>
  <c r="M359"/>
  <c r="N359" s="1"/>
  <c r="P359" s="1"/>
  <c r="O359" s="1"/>
  <c r="K359" s="1"/>
  <c r="H359" s="1"/>
  <c r="M357"/>
  <c r="N357" s="1"/>
  <c r="P357" s="1"/>
  <c r="O357" s="1"/>
  <c r="K357" s="1"/>
  <c r="H357" s="1"/>
  <c r="M355"/>
  <c r="N355" s="1"/>
  <c r="P355" s="1"/>
  <c r="O355" s="1"/>
  <c r="K355" s="1"/>
  <c r="H355" s="1"/>
  <c r="M353"/>
  <c r="N353" s="1"/>
  <c r="P353" s="1"/>
  <c r="O353" s="1"/>
  <c r="K353" s="1"/>
  <c r="H353" s="1"/>
  <c r="M348"/>
  <c r="N348" s="1"/>
  <c r="P348" s="1"/>
  <c r="O348" s="1"/>
  <c r="K348" s="1"/>
  <c r="H348" s="1"/>
  <c r="M430"/>
  <c r="N430" s="1"/>
  <c r="P430" s="1"/>
  <c r="O430" s="1"/>
  <c r="K430" s="1"/>
  <c r="H430" s="1"/>
  <c r="M428"/>
  <c r="N428" s="1"/>
  <c r="P428" s="1"/>
  <c r="O428" s="1"/>
  <c r="K428" s="1"/>
  <c r="H428" s="1"/>
  <c r="M426"/>
  <c r="N426" s="1"/>
  <c r="P426" s="1"/>
  <c r="O426" s="1"/>
  <c r="K426" s="1"/>
  <c r="H426" s="1"/>
  <c r="M422"/>
  <c r="N422" s="1"/>
  <c r="P422" s="1"/>
  <c r="O422" s="1"/>
  <c r="K422" s="1"/>
  <c r="H422" s="1"/>
  <c r="L76" i="2"/>
  <c r="M76"/>
  <c r="M73"/>
  <c r="L73"/>
  <c r="M575" i="5"/>
  <c r="N575" s="1"/>
  <c r="P575" s="1"/>
  <c r="O575" s="1"/>
  <c r="K575" s="1"/>
  <c r="H575" s="1"/>
  <c r="M573"/>
  <c r="N573" s="1"/>
  <c r="P573" s="1"/>
  <c r="O573" s="1"/>
  <c r="K573" s="1"/>
  <c r="H573" s="1"/>
  <c r="M571"/>
  <c r="N571" s="1"/>
  <c r="P571" s="1"/>
  <c r="O571" s="1"/>
  <c r="K571" s="1"/>
  <c r="H571" s="1"/>
  <c r="M569"/>
  <c r="N569" s="1"/>
  <c r="P569" s="1"/>
  <c r="O569" s="1"/>
  <c r="K569" s="1"/>
  <c r="H569" s="1"/>
  <c r="M567"/>
  <c r="N567" s="1"/>
  <c r="P567" s="1"/>
  <c r="O567" s="1"/>
  <c r="K567" s="1"/>
  <c r="H567" s="1"/>
  <c r="M565"/>
  <c r="N565" s="1"/>
  <c r="P565" s="1"/>
  <c r="O565" s="1"/>
  <c r="K565" s="1"/>
  <c r="H565" s="1"/>
  <c r="M563"/>
  <c r="N563" s="1"/>
  <c r="P563" s="1"/>
  <c r="O563" s="1"/>
  <c r="K563" s="1"/>
  <c r="H563" s="1"/>
  <c r="M489"/>
  <c r="N489" s="1"/>
  <c r="P489" s="1"/>
  <c r="O489" s="1"/>
  <c r="K489" s="1"/>
  <c r="H489" s="1"/>
  <c r="M238"/>
  <c r="N238" s="1"/>
  <c r="P238" s="1"/>
  <c r="O238" s="1"/>
  <c r="K238" s="1"/>
  <c r="H238" s="1"/>
  <c r="T241"/>
  <c r="M215"/>
  <c r="N215" s="1"/>
  <c r="P215" s="1"/>
  <c r="O215" s="1"/>
  <c r="K215" s="1"/>
  <c r="H215" s="1"/>
  <c r="M213"/>
  <c r="N213" s="1"/>
  <c r="P213" s="1"/>
  <c r="O213" s="1"/>
  <c r="K213" s="1"/>
  <c r="H213" s="1"/>
  <c r="M211"/>
  <c r="N211" s="1"/>
  <c r="P211" s="1"/>
  <c r="O211" s="1"/>
  <c r="K211" s="1"/>
  <c r="H211" s="1"/>
  <c r="M209"/>
  <c r="N209" s="1"/>
  <c r="P209" s="1"/>
  <c r="O209" s="1"/>
  <c r="K209" s="1"/>
  <c r="H209" s="1"/>
  <c r="M207"/>
  <c r="N207" s="1"/>
  <c r="P207" s="1"/>
  <c r="O207" s="1"/>
  <c r="K207" s="1"/>
  <c r="H207" s="1"/>
  <c r="M205"/>
  <c r="N205" s="1"/>
  <c r="P205" s="1"/>
  <c r="O205" s="1"/>
  <c r="K205" s="1"/>
  <c r="H205" s="1"/>
  <c r="M203"/>
  <c r="N203" s="1"/>
  <c r="P203" s="1"/>
  <c r="O203" s="1"/>
  <c r="K203" s="1"/>
  <c r="H203" s="1"/>
  <c r="M129"/>
  <c r="N129" s="1"/>
  <c r="P129" s="1"/>
  <c r="O129" s="1"/>
  <c r="K129" s="1"/>
  <c r="H129" s="1"/>
  <c r="M94"/>
  <c r="N94" s="1"/>
  <c r="P94" s="1"/>
  <c r="O94" s="1"/>
  <c r="K94" s="1"/>
  <c r="H94" s="1"/>
  <c r="T97"/>
  <c r="M71"/>
  <c r="N71" s="1"/>
  <c r="P71" s="1"/>
  <c r="O71" s="1"/>
  <c r="K71" s="1"/>
  <c r="H71" s="1"/>
  <c r="M69"/>
  <c r="N69" s="1"/>
  <c r="P69" s="1"/>
  <c r="O69" s="1"/>
  <c r="K69" s="1"/>
  <c r="H69" s="1"/>
  <c r="M67"/>
  <c r="N67" s="1"/>
  <c r="P67" s="1"/>
  <c r="O67" s="1"/>
  <c r="K67" s="1"/>
  <c r="H67" s="1"/>
  <c r="M65"/>
  <c r="N65" s="1"/>
  <c r="P65" s="1"/>
  <c r="O65" s="1"/>
  <c r="K65" s="1"/>
  <c r="H65" s="1"/>
  <c r="M63"/>
  <c r="N63" s="1"/>
  <c r="P63" s="1"/>
  <c r="O63" s="1"/>
  <c r="K63" s="1"/>
  <c r="H63" s="1"/>
  <c r="M61"/>
  <c r="N61" s="1"/>
  <c r="P61" s="1"/>
  <c r="O61" s="1"/>
  <c r="K61" s="1"/>
  <c r="H61" s="1"/>
  <c r="M57"/>
  <c r="N57" s="1"/>
  <c r="P57" s="1"/>
  <c r="O57" s="1"/>
  <c r="K57" s="1"/>
  <c r="H57" s="1"/>
  <c r="M22"/>
  <c r="N22" s="1"/>
  <c r="P22" s="1"/>
  <c r="O22" s="1"/>
  <c r="K22" s="1"/>
  <c r="H22" s="1"/>
  <c r="T25"/>
  <c r="L394" i="6"/>
  <c r="U530" i="5"/>
  <c r="Y177"/>
  <c r="V177" s="1"/>
  <c r="T195" s="1"/>
  <c r="U195" s="1"/>
  <c r="Y173"/>
  <c r="V173" s="1"/>
  <c r="T191" s="1"/>
  <c r="U191" s="1"/>
  <c r="Y169"/>
  <c r="V169" s="1"/>
  <c r="T187" s="1"/>
  <c r="U187" s="1"/>
  <c r="Y21"/>
  <c r="V21" s="1"/>
  <c r="T39" s="1"/>
  <c r="U39" s="1"/>
  <c r="Y130"/>
  <c r="V130" s="1"/>
  <c r="T148" s="1"/>
  <c r="U148" s="1"/>
  <c r="T218"/>
  <c r="Q847" i="6"/>
  <c r="Q639"/>
  <c r="Q846"/>
  <c r="Q638"/>
  <c r="Q845"/>
  <c r="Q637"/>
  <c r="Q844"/>
  <c r="Q636"/>
  <c r="Q843"/>
  <c r="Q635"/>
  <c r="Q842"/>
  <c r="Q634"/>
  <c r="Q789"/>
  <c r="X815"/>
  <c r="Q581"/>
  <c r="X607"/>
  <c r="Q787"/>
  <c r="X813"/>
  <c r="X605"/>
  <c r="Q579"/>
  <c r="Q785"/>
  <c r="X811"/>
  <c r="X603"/>
  <c r="Q577"/>
  <c r="Q784"/>
  <c r="T764" s="1"/>
  <c r="X810"/>
  <c r="Q576"/>
  <c r="X602"/>
  <c r="Q434"/>
  <c r="Q226"/>
  <c r="Q432"/>
  <c r="Q224"/>
  <c r="Q430"/>
  <c r="Q222"/>
  <c r="Q428"/>
  <c r="Q219"/>
  <c r="Q426"/>
  <c r="X773"/>
  <c r="Q773"/>
  <c r="D773"/>
  <c r="M565"/>
  <c r="N565" s="1"/>
  <c r="P565" s="1"/>
  <c r="O565" s="1"/>
  <c r="K565" s="1"/>
  <c r="H565" s="1"/>
  <c r="Y565" s="1"/>
  <c r="D565"/>
  <c r="Q565"/>
  <c r="X565"/>
  <c r="D772"/>
  <c r="X772"/>
  <c r="Q772"/>
  <c r="M564"/>
  <c r="N564" s="1"/>
  <c r="P564" s="1"/>
  <c r="O564" s="1"/>
  <c r="K564" s="1"/>
  <c r="H564" s="1"/>
  <c r="D564"/>
  <c r="Q564"/>
  <c r="X564"/>
  <c r="D771"/>
  <c r="Q771"/>
  <c r="X771"/>
  <c r="M563"/>
  <c r="N563" s="1"/>
  <c r="P563" s="1"/>
  <c r="O563" s="1"/>
  <c r="K563" s="1"/>
  <c r="H563" s="1"/>
  <c r="Y563" s="1"/>
  <c r="D563"/>
  <c r="Q563"/>
  <c r="X563"/>
  <c r="M770"/>
  <c r="N770" s="1"/>
  <c r="P770" s="1"/>
  <c r="O770" s="1"/>
  <c r="K770" s="1"/>
  <c r="H770" s="1"/>
  <c r="D770"/>
  <c r="Q770"/>
  <c r="X770"/>
  <c r="X562"/>
  <c r="D562"/>
  <c r="Q562"/>
  <c r="X769"/>
  <c r="Q769"/>
  <c r="D769"/>
  <c r="M561"/>
  <c r="N561" s="1"/>
  <c r="P561" s="1"/>
  <c r="O561" s="1"/>
  <c r="K561" s="1"/>
  <c r="H561" s="1"/>
  <c r="Y561" s="1"/>
  <c r="D561"/>
  <c r="Q561"/>
  <c r="X561"/>
  <c r="M768"/>
  <c r="N768" s="1"/>
  <c r="P768" s="1"/>
  <c r="O768" s="1"/>
  <c r="K768" s="1"/>
  <c r="H768" s="1"/>
  <c r="D768"/>
  <c r="Q768"/>
  <c r="X768"/>
  <c r="X560"/>
  <c r="D560"/>
  <c r="Q560"/>
  <c r="X767"/>
  <c r="D767"/>
  <c r="Q767"/>
  <c r="M559"/>
  <c r="N559" s="1"/>
  <c r="P559" s="1"/>
  <c r="O559" s="1"/>
  <c r="K559" s="1"/>
  <c r="H559" s="1"/>
  <c r="Y559" s="1"/>
  <c r="D559"/>
  <c r="Q559"/>
  <c r="X559"/>
  <c r="M766"/>
  <c r="N766" s="1"/>
  <c r="P766" s="1"/>
  <c r="O766" s="1"/>
  <c r="K766" s="1"/>
  <c r="H766" s="1"/>
  <c r="D766"/>
  <c r="Q766"/>
  <c r="X766"/>
  <c r="X558"/>
  <c r="D558"/>
  <c r="Q558"/>
  <c r="X765"/>
  <c r="D765"/>
  <c r="Q765"/>
  <c r="M557"/>
  <c r="N557" s="1"/>
  <c r="P557" s="1"/>
  <c r="O557" s="1"/>
  <c r="K557" s="1"/>
  <c r="H557" s="1"/>
  <c r="Y557" s="1"/>
  <c r="D557"/>
  <c r="Q557"/>
  <c r="X557"/>
  <c r="M764"/>
  <c r="N764" s="1"/>
  <c r="P764" s="1"/>
  <c r="O764" s="1"/>
  <c r="K764" s="1"/>
  <c r="H764" s="1"/>
  <c r="D764"/>
  <c r="Q764"/>
  <c r="X764"/>
  <c r="X556"/>
  <c r="D556"/>
  <c r="Q556"/>
  <c r="X659"/>
  <c r="D659"/>
  <c r="Q659"/>
  <c r="D658"/>
  <c r="Q658"/>
  <c r="X658"/>
  <c r="D657"/>
  <c r="Q657"/>
  <c r="X657"/>
  <c r="D656"/>
  <c r="Q656"/>
  <c r="X656"/>
  <c r="M655"/>
  <c r="N655" s="1"/>
  <c r="P655" s="1"/>
  <c r="O655" s="1"/>
  <c r="K655" s="1"/>
  <c r="H655" s="1"/>
  <c r="Y655" s="1"/>
  <c r="D655"/>
  <c r="Q655"/>
  <c r="X655"/>
  <c r="D446"/>
  <c r="Q446"/>
  <c r="T451" s="1"/>
  <c r="X446"/>
  <c r="T448" s="1"/>
  <c r="M97"/>
  <c r="N97" s="1"/>
  <c r="P97" s="1"/>
  <c r="O97" s="1"/>
  <c r="K97" s="1"/>
  <c r="H97" s="1"/>
  <c r="D97"/>
  <c r="Q97"/>
  <c r="D96"/>
  <c r="Q96"/>
  <c r="M95"/>
  <c r="N95" s="1"/>
  <c r="P95" s="1"/>
  <c r="O95" s="1"/>
  <c r="K95" s="1"/>
  <c r="H95" s="1"/>
  <c r="D95"/>
  <c r="Q95"/>
  <c r="D94"/>
  <c r="Q94"/>
  <c r="M93"/>
  <c r="N93" s="1"/>
  <c r="P93" s="1"/>
  <c r="O93" s="1"/>
  <c r="K93" s="1"/>
  <c r="H93" s="1"/>
  <c r="D93"/>
  <c r="Q93"/>
  <c r="D92"/>
  <c r="Q92"/>
  <c r="M91"/>
  <c r="N91" s="1"/>
  <c r="P91" s="1"/>
  <c r="O91" s="1"/>
  <c r="K91" s="1"/>
  <c r="H91" s="1"/>
  <c r="D91"/>
  <c r="Q91"/>
  <c r="D90"/>
  <c r="Q90"/>
  <c r="M89"/>
  <c r="N89" s="1"/>
  <c r="P89" s="1"/>
  <c r="O89" s="1"/>
  <c r="K89" s="1"/>
  <c r="H89" s="1"/>
  <c r="D89"/>
  <c r="Q89"/>
  <c r="D88"/>
  <c r="Q88"/>
  <c r="M295"/>
  <c r="N295" s="1"/>
  <c r="P295" s="1"/>
  <c r="O295" s="1"/>
  <c r="K295" s="1"/>
  <c r="H295" s="1"/>
  <c r="Z243" s="1"/>
  <c r="D295"/>
  <c r="Q295"/>
  <c r="M87"/>
  <c r="N87" s="1"/>
  <c r="P87" s="1"/>
  <c r="O87" s="1"/>
  <c r="K87" s="1"/>
  <c r="H87" s="1"/>
  <c r="D87"/>
  <c r="Q87"/>
  <c r="M294"/>
  <c r="N294" s="1"/>
  <c r="P294" s="1"/>
  <c r="O294" s="1"/>
  <c r="K294" s="1"/>
  <c r="H294" s="1"/>
  <c r="D294"/>
  <c r="Q294"/>
  <c r="M86"/>
  <c r="N86" s="1"/>
  <c r="P86" s="1"/>
  <c r="O86" s="1"/>
  <c r="K86" s="1"/>
  <c r="H86" s="1"/>
  <c r="D86"/>
  <c r="Q86"/>
  <c r="M293"/>
  <c r="N293" s="1"/>
  <c r="P293" s="1"/>
  <c r="O293" s="1"/>
  <c r="K293" s="1"/>
  <c r="H293" s="1"/>
  <c r="D293"/>
  <c r="Q293"/>
  <c r="M85"/>
  <c r="N85" s="1"/>
  <c r="P85" s="1"/>
  <c r="O85" s="1"/>
  <c r="K85" s="1"/>
  <c r="H85" s="1"/>
  <c r="D85"/>
  <c r="Q85"/>
  <c r="M292"/>
  <c r="N292" s="1"/>
  <c r="P292" s="1"/>
  <c r="O292" s="1"/>
  <c r="K292" s="1"/>
  <c r="H292" s="1"/>
  <c r="D292"/>
  <c r="Q292"/>
  <c r="M84"/>
  <c r="N84" s="1"/>
  <c r="P84" s="1"/>
  <c r="O84" s="1"/>
  <c r="K84" s="1"/>
  <c r="H84" s="1"/>
  <c r="D84"/>
  <c r="Q84"/>
  <c r="M291"/>
  <c r="N291" s="1"/>
  <c r="P291" s="1"/>
  <c r="O291" s="1"/>
  <c r="K291" s="1"/>
  <c r="H291" s="1"/>
  <c r="D291"/>
  <c r="Q291"/>
  <c r="M83"/>
  <c r="N83" s="1"/>
  <c r="P83" s="1"/>
  <c r="O83" s="1"/>
  <c r="K83" s="1"/>
  <c r="H83" s="1"/>
  <c r="D83"/>
  <c r="Q83"/>
  <c r="Q841"/>
  <c r="Q633"/>
  <c r="Q840"/>
  <c r="Q632"/>
  <c r="Q839"/>
  <c r="Q631"/>
  <c r="Q838"/>
  <c r="Q630"/>
  <c r="Q837"/>
  <c r="Q629"/>
  <c r="Q732"/>
  <c r="Q628"/>
  <c r="Q524"/>
  <c r="Q383"/>
  <c r="X409"/>
  <c r="Q279"/>
  <c r="X305"/>
  <c r="Q382"/>
  <c r="X408"/>
  <c r="X304"/>
  <c r="Q278"/>
  <c r="Q381"/>
  <c r="X407"/>
  <c r="Q277"/>
  <c r="X303"/>
  <c r="Q380"/>
  <c r="X406"/>
  <c r="X302"/>
  <c r="Q276"/>
  <c r="Q379"/>
  <c r="X405"/>
  <c r="Q275"/>
  <c r="X301"/>
  <c r="Q378"/>
  <c r="X404"/>
  <c r="X300"/>
  <c r="Q274"/>
  <c r="Q377"/>
  <c r="X403"/>
  <c r="Q273"/>
  <c r="X299"/>
  <c r="Q376"/>
  <c r="X402"/>
  <c r="X298"/>
  <c r="Q272"/>
  <c r="Q375"/>
  <c r="X401"/>
  <c r="Q271"/>
  <c r="X297"/>
  <c r="Q374"/>
  <c r="X400"/>
  <c r="X296"/>
  <c r="Q270"/>
  <c r="Q373"/>
  <c r="X399"/>
  <c r="Q269"/>
  <c r="X295"/>
  <c r="Q372"/>
  <c r="X398"/>
  <c r="X294"/>
  <c r="Q268"/>
  <c r="Q371"/>
  <c r="X397"/>
  <c r="X293"/>
  <c r="Q267"/>
  <c r="Q370"/>
  <c r="X396"/>
  <c r="X292"/>
  <c r="Q266"/>
  <c r="Q369"/>
  <c r="X395"/>
  <c r="X291"/>
  <c r="Q265"/>
  <c r="Q160"/>
  <c r="T140" s="1"/>
  <c r="X186"/>
  <c r="M305" i="5"/>
  <c r="N305" s="1"/>
  <c r="P305" s="1"/>
  <c r="O305" s="1"/>
  <c r="K305" s="1"/>
  <c r="H305" s="1"/>
  <c r="M303"/>
  <c r="N303" s="1"/>
  <c r="P303" s="1"/>
  <c r="O303" s="1"/>
  <c r="K303" s="1"/>
  <c r="H303" s="1"/>
  <c r="M301"/>
  <c r="N301" s="1"/>
  <c r="P301" s="1"/>
  <c r="O301" s="1"/>
  <c r="K301" s="1"/>
  <c r="H301" s="1"/>
  <c r="M299"/>
  <c r="N299" s="1"/>
  <c r="P299" s="1"/>
  <c r="O299" s="1"/>
  <c r="K299" s="1"/>
  <c r="H299" s="1"/>
  <c r="M297"/>
  <c r="N297" s="1"/>
  <c r="P297" s="1"/>
  <c r="O297" s="1"/>
  <c r="K297" s="1"/>
  <c r="H297" s="1"/>
  <c r="D346" i="6"/>
  <c r="Q346"/>
  <c r="X346"/>
  <c r="D138"/>
  <c r="Q138"/>
  <c r="X138"/>
  <c r="D345"/>
  <c r="Q345"/>
  <c r="X345"/>
  <c r="D137"/>
  <c r="Q137"/>
  <c r="X137"/>
  <c r="D344"/>
  <c r="Q344"/>
  <c r="X344"/>
  <c r="D136"/>
  <c r="Q136"/>
  <c r="X136"/>
  <c r="M343"/>
  <c r="N343" s="1"/>
  <c r="P343" s="1"/>
  <c r="O343" s="1"/>
  <c r="K343" s="1"/>
  <c r="H343" s="1"/>
  <c r="Y343" s="1"/>
  <c r="D343"/>
  <c r="Q343"/>
  <c r="X343"/>
  <c r="M135"/>
  <c r="N135" s="1"/>
  <c r="P135" s="1"/>
  <c r="O135" s="1"/>
  <c r="K135" s="1"/>
  <c r="H135" s="1"/>
  <c r="D135"/>
  <c r="Q135"/>
  <c r="X135"/>
  <c r="D238"/>
  <c r="X238"/>
  <c r="Q238"/>
  <c r="T243" s="1"/>
  <c r="B89" i="3"/>
  <c r="B62"/>
  <c r="Y308" i="5"/>
  <c r="V308" s="1"/>
  <c r="T326" s="1"/>
  <c r="T313"/>
  <c r="M279"/>
  <c r="N279" s="1"/>
  <c r="P279" s="1"/>
  <c r="O279" s="1"/>
  <c r="K279" s="1"/>
  <c r="H279" s="1"/>
  <c r="M275"/>
  <c r="N275" s="1"/>
  <c r="P275" s="1"/>
  <c r="O275" s="1"/>
  <c r="K275" s="1"/>
  <c r="H275" s="1"/>
  <c r="M454"/>
  <c r="N454" s="1"/>
  <c r="P454" s="1"/>
  <c r="O454" s="1"/>
  <c r="K454" s="1"/>
  <c r="H454" s="1"/>
  <c r="M380"/>
  <c r="N380" s="1"/>
  <c r="P380" s="1"/>
  <c r="O380" s="1"/>
  <c r="K380" s="1"/>
  <c r="H380" s="1"/>
  <c r="S380" s="1"/>
  <c r="T385"/>
  <c r="M352"/>
  <c r="N352" s="1"/>
  <c r="P352" s="1"/>
  <c r="O352" s="1"/>
  <c r="K352" s="1"/>
  <c r="H352" s="1"/>
  <c r="M349"/>
  <c r="N349" s="1"/>
  <c r="P349" s="1"/>
  <c r="O349" s="1"/>
  <c r="K349" s="1"/>
  <c r="H349" s="1"/>
  <c r="M345"/>
  <c r="N345" s="1"/>
  <c r="P345" s="1"/>
  <c r="O345" s="1"/>
  <c r="K345" s="1"/>
  <c r="H345" s="1"/>
  <c r="M310"/>
  <c r="N310" s="1"/>
  <c r="P310" s="1"/>
  <c r="O310" s="1"/>
  <c r="K310" s="1"/>
  <c r="H310" s="1"/>
  <c r="M286"/>
  <c r="N286" s="1"/>
  <c r="P286" s="1"/>
  <c r="O286" s="1"/>
  <c r="K286" s="1"/>
  <c r="H286" s="1"/>
  <c r="M284"/>
  <c r="N284" s="1"/>
  <c r="P284" s="1"/>
  <c r="O284" s="1"/>
  <c r="K284" s="1"/>
  <c r="H284" s="1"/>
  <c r="M282"/>
  <c r="N282" s="1"/>
  <c r="P282" s="1"/>
  <c r="O282" s="1"/>
  <c r="K282" s="1"/>
  <c r="H282" s="1"/>
  <c r="M278"/>
  <c r="N278" s="1"/>
  <c r="P278" s="1"/>
  <c r="O278" s="1"/>
  <c r="K278" s="1"/>
  <c r="H278" s="1"/>
  <c r="M79" i="2"/>
  <c r="L79"/>
  <c r="M83"/>
  <c r="L83"/>
  <c r="M524" i="5"/>
  <c r="N524" s="1"/>
  <c r="P524" s="1"/>
  <c r="O524" s="1"/>
  <c r="K524" s="1"/>
  <c r="H524" s="1"/>
  <c r="T529"/>
  <c r="M502"/>
  <c r="N502" s="1"/>
  <c r="P502" s="1"/>
  <c r="O502" s="1"/>
  <c r="K502" s="1"/>
  <c r="H502" s="1"/>
  <c r="M500"/>
  <c r="N500" s="1"/>
  <c r="P500" s="1"/>
  <c r="O500" s="1"/>
  <c r="K500" s="1"/>
  <c r="H500" s="1"/>
  <c r="M498"/>
  <c r="N498" s="1"/>
  <c r="P498" s="1"/>
  <c r="O498" s="1"/>
  <c r="K498" s="1"/>
  <c r="H498" s="1"/>
  <c r="M496"/>
  <c r="N496" s="1"/>
  <c r="P496" s="1"/>
  <c r="O496" s="1"/>
  <c r="K496" s="1"/>
  <c r="H496" s="1"/>
  <c r="M494"/>
  <c r="N494" s="1"/>
  <c r="P494" s="1"/>
  <c r="O494" s="1"/>
  <c r="K494" s="1"/>
  <c r="H494" s="1"/>
  <c r="M492"/>
  <c r="N492" s="1"/>
  <c r="P492" s="1"/>
  <c r="O492" s="1"/>
  <c r="K492" s="1"/>
  <c r="H492" s="1"/>
  <c r="M164"/>
  <c r="N164" s="1"/>
  <c r="P164" s="1"/>
  <c r="O164" s="1"/>
  <c r="K164" s="1"/>
  <c r="H164" s="1"/>
  <c r="M142"/>
  <c r="N142" s="1"/>
  <c r="P142" s="1"/>
  <c r="O142" s="1"/>
  <c r="K142" s="1"/>
  <c r="H142" s="1"/>
  <c r="M140"/>
  <c r="N140" s="1"/>
  <c r="P140" s="1"/>
  <c r="O140" s="1"/>
  <c r="K140" s="1"/>
  <c r="H140" s="1"/>
  <c r="M138"/>
  <c r="N138" s="1"/>
  <c r="P138" s="1"/>
  <c r="O138" s="1"/>
  <c r="K138" s="1"/>
  <c r="H138" s="1"/>
  <c r="M136"/>
  <c r="N136" s="1"/>
  <c r="P136" s="1"/>
  <c r="O136" s="1"/>
  <c r="K136" s="1"/>
  <c r="H136" s="1"/>
  <c r="M134"/>
  <c r="N134" s="1"/>
  <c r="P134" s="1"/>
  <c r="O134" s="1"/>
  <c r="K134" s="1"/>
  <c r="H134" s="1"/>
  <c r="M132"/>
  <c r="N132" s="1"/>
  <c r="P132" s="1"/>
  <c r="O132" s="1"/>
  <c r="K132" s="1"/>
  <c r="H132" s="1"/>
  <c r="S467" i="6"/>
  <c r="V467" s="1"/>
  <c r="Y467"/>
  <c r="S313"/>
  <c r="V313" s="1"/>
  <c r="Z261"/>
  <c r="S99"/>
  <c r="V99" s="1"/>
  <c r="Z47"/>
  <c r="M807"/>
  <c r="N807" s="1"/>
  <c r="P807" s="1"/>
  <c r="O807" s="1"/>
  <c r="K807" s="1"/>
  <c r="H807" s="1"/>
  <c r="M703"/>
  <c r="N703" s="1"/>
  <c r="P703" s="1"/>
  <c r="O703" s="1"/>
  <c r="K703" s="1"/>
  <c r="H703" s="1"/>
  <c r="M697"/>
  <c r="N697" s="1"/>
  <c r="P697" s="1"/>
  <c r="O697" s="1"/>
  <c r="K697" s="1"/>
  <c r="H697" s="1"/>
  <c r="M647"/>
  <c r="N647" s="1"/>
  <c r="P647" s="1"/>
  <c r="O647" s="1"/>
  <c r="K647" s="1"/>
  <c r="H647" s="1"/>
  <c r="K644"/>
  <c r="H644" s="1"/>
  <c r="M644"/>
  <c r="N644" s="1"/>
  <c r="P644" s="1"/>
  <c r="O644" s="1"/>
  <c r="M391"/>
  <c r="N391" s="1"/>
  <c r="P391" s="1"/>
  <c r="O391" s="1"/>
  <c r="K391" s="1"/>
  <c r="H391" s="1"/>
  <c r="M385"/>
  <c r="N385" s="1"/>
  <c r="P385" s="1"/>
  <c r="O385" s="1"/>
  <c r="K385" s="1"/>
  <c r="H385" s="1"/>
  <c r="M230"/>
  <c r="N230" s="1"/>
  <c r="P230" s="1"/>
  <c r="O230" s="1"/>
  <c r="K230" s="1"/>
  <c r="H230" s="1"/>
  <c r="T419" i="5"/>
  <c r="A62" i="2" s="1"/>
  <c r="M424" i="5"/>
  <c r="N424" s="1"/>
  <c r="P424" s="1"/>
  <c r="O424" s="1"/>
  <c r="K424" s="1"/>
  <c r="H424" s="1"/>
  <c r="M421"/>
  <c r="N421" s="1"/>
  <c r="P421" s="1"/>
  <c r="O421" s="1"/>
  <c r="K421" s="1"/>
  <c r="H421" s="1"/>
  <c r="M417"/>
  <c r="N417" s="1"/>
  <c r="P417" s="1"/>
  <c r="O417" s="1"/>
  <c r="K417" s="1"/>
  <c r="H417" s="1"/>
  <c r="M382"/>
  <c r="N382" s="1"/>
  <c r="P382" s="1"/>
  <c r="O382" s="1"/>
  <c r="K382" s="1"/>
  <c r="H382" s="1"/>
  <c r="M358"/>
  <c r="N358" s="1"/>
  <c r="P358" s="1"/>
  <c r="O358" s="1"/>
  <c r="K358" s="1"/>
  <c r="H358" s="1"/>
  <c r="M356"/>
  <c r="N356" s="1"/>
  <c r="P356" s="1"/>
  <c r="O356" s="1"/>
  <c r="K356" s="1"/>
  <c r="H356" s="1"/>
  <c r="M354"/>
  <c r="N354" s="1"/>
  <c r="P354" s="1"/>
  <c r="O354" s="1"/>
  <c r="K354" s="1"/>
  <c r="H354" s="1"/>
  <c r="M350"/>
  <c r="N350" s="1"/>
  <c r="P350" s="1"/>
  <c r="O350" s="1"/>
  <c r="K350" s="1"/>
  <c r="H350" s="1"/>
  <c r="M431"/>
  <c r="N431" s="1"/>
  <c r="P431" s="1"/>
  <c r="O431" s="1"/>
  <c r="K431" s="1"/>
  <c r="H431" s="1"/>
  <c r="M429"/>
  <c r="N429" s="1"/>
  <c r="P429" s="1"/>
  <c r="O429" s="1"/>
  <c r="K429" s="1"/>
  <c r="H429" s="1"/>
  <c r="M427"/>
  <c r="N427" s="1"/>
  <c r="P427" s="1"/>
  <c r="O427" s="1"/>
  <c r="K427" s="1"/>
  <c r="H427" s="1"/>
  <c r="M425"/>
  <c r="N425" s="1"/>
  <c r="P425" s="1"/>
  <c r="O425" s="1"/>
  <c r="K425" s="1"/>
  <c r="H425" s="1"/>
  <c r="M420"/>
  <c r="N420" s="1"/>
  <c r="P420" s="1"/>
  <c r="O420" s="1"/>
  <c r="K420" s="1"/>
  <c r="H420" s="1"/>
  <c r="M77" i="2"/>
  <c r="L77"/>
  <c r="M81"/>
  <c r="L81"/>
  <c r="M85"/>
  <c r="L85"/>
  <c r="M574" i="5"/>
  <c r="N574" s="1"/>
  <c r="P574" s="1"/>
  <c r="O574" s="1"/>
  <c r="K574" s="1"/>
  <c r="H574" s="1"/>
  <c r="M572"/>
  <c r="N572" s="1"/>
  <c r="P572" s="1"/>
  <c r="O572" s="1"/>
  <c r="K572" s="1"/>
  <c r="H572" s="1"/>
  <c r="M570"/>
  <c r="N570" s="1"/>
  <c r="P570" s="1"/>
  <c r="O570" s="1"/>
  <c r="K570" s="1"/>
  <c r="H570" s="1"/>
  <c r="M568"/>
  <c r="N568" s="1"/>
  <c r="P568" s="1"/>
  <c r="O568" s="1"/>
  <c r="K568" s="1"/>
  <c r="H568" s="1"/>
  <c r="M566"/>
  <c r="N566" s="1"/>
  <c r="P566" s="1"/>
  <c r="O566" s="1"/>
  <c r="K566" s="1"/>
  <c r="H566" s="1"/>
  <c r="M564"/>
  <c r="N564" s="1"/>
  <c r="P564" s="1"/>
  <c r="O564" s="1"/>
  <c r="K564" s="1"/>
  <c r="H564" s="1"/>
  <c r="M236"/>
  <c r="N236" s="1"/>
  <c r="P236" s="1"/>
  <c r="O236" s="1"/>
  <c r="K236" s="1"/>
  <c r="H236" s="1"/>
  <c r="M214"/>
  <c r="N214" s="1"/>
  <c r="P214" s="1"/>
  <c r="O214" s="1"/>
  <c r="K214" s="1"/>
  <c r="H214" s="1"/>
  <c r="M212"/>
  <c r="N212" s="1"/>
  <c r="P212" s="1"/>
  <c r="O212" s="1"/>
  <c r="K212" s="1"/>
  <c r="H212" s="1"/>
  <c r="M210"/>
  <c r="N210" s="1"/>
  <c r="P210" s="1"/>
  <c r="O210" s="1"/>
  <c r="K210" s="1"/>
  <c r="H210" s="1"/>
  <c r="M208"/>
  <c r="N208" s="1"/>
  <c r="P208" s="1"/>
  <c r="O208" s="1"/>
  <c r="K208" s="1"/>
  <c r="H208" s="1"/>
  <c r="M206"/>
  <c r="N206" s="1"/>
  <c r="P206" s="1"/>
  <c r="O206" s="1"/>
  <c r="K206" s="1"/>
  <c r="H206" s="1"/>
  <c r="M204"/>
  <c r="N204" s="1"/>
  <c r="P204" s="1"/>
  <c r="O204" s="1"/>
  <c r="K204" s="1"/>
  <c r="H204" s="1"/>
  <c r="M92"/>
  <c r="N92" s="1"/>
  <c r="P92" s="1"/>
  <c r="O92" s="1"/>
  <c r="K92" s="1"/>
  <c r="H92" s="1"/>
  <c r="M70"/>
  <c r="N70" s="1"/>
  <c r="P70" s="1"/>
  <c r="O70" s="1"/>
  <c r="K70" s="1"/>
  <c r="H70" s="1"/>
  <c r="M68"/>
  <c r="N68" s="1"/>
  <c r="P68" s="1"/>
  <c r="O68" s="1"/>
  <c r="K68" s="1"/>
  <c r="H68" s="1"/>
  <c r="M66"/>
  <c r="N66" s="1"/>
  <c r="P66" s="1"/>
  <c r="O66" s="1"/>
  <c r="K66" s="1"/>
  <c r="H66" s="1"/>
  <c r="M64"/>
  <c r="N64" s="1"/>
  <c r="P64" s="1"/>
  <c r="O64" s="1"/>
  <c r="K64" s="1"/>
  <c r="H64" s="1"/>
  <c r="M62"/>
  <c r="N62" s="1"/>
  <c r="P62" s="1"/>
  <c r="O62" s="1"/>
  <c r="K62" s="1"/>
  <c r="H62" s="1"/>
  <c r="M60"/>
  <c r="N60" s="1"/>
  <c r="P60" s="1"/>
  <c r="O60" s="1"/>
  <c r="K60" s="1"/>
  <c r="H60" s="1"/>
  <c r="M20"/>
  <c r="N20" s="1"/>
  <c r="P20" s="1"/>
  <c r="O20" s="1"/>
  <c r="K20" s="1"/>
  <c r="H20" s="1"/>
  <c r="S832" i="6"/>
  <c r="V832" s="1"/>
  <c r="Z780"/>
  <c r="S828"/>
  <c r="V828" s="1"/>
  <c r="Z776"/>
  <c r="S726"/>
  <c r="V726" s="1"/>
  <c r="Z674"/>
  <c r="S722"/>
  <c r="V722" s="1"/>
  <c r="Z670"/>
  <c r="S672"/>
  <c r="V672" s="1"/>
  <c r="Y672"/>
  <c r="S571"/>
  <c r="V571" s="1"/>
  <c r="Y571"/>
  <c r="S469"/>
  <c r="V469" s="1"/>
  <c r="Y469"/>
  <c r="S416"/>
  <c r="V416" s="1"/>
  <c r="Z364"/>
  <c r="S311"/>
  <c r="V311" s="1"/>
  <c r="Z259"/>
  <c r="S209"/>
  <c r="V209" s="1"/>
  <c r="Z157"/>
  <c r="S207"/>
  <c r="V207" s="1"/>
  <c r="Z155"/>
  <c r="S157"/>
  <c r="V157" s="1"/>
  <c r="Y157"/>
  <c r="S153"/>
  <c r="V153" s="1"/>
  <c r="Y153"/>
  <c r="S105"/>
  <c r="V105" s="1"/>
  <c r="Z53"/>
  <c r="L531"/>
  <c r="L738"/>
  <c r="L530"/>
  <c r="L788"/>
  <c r="L580"/>
  <c r="L786"/>
  <c r="L578"/>
  <c r="L435"/>
  <c r="L227"/>
  <c r="L433"/>
  <c r="L225"/>
  <c r="L431"/>
  <c r="L223"/>
  <c r="L429"/>
  <c r="L221"/>
  <c r="L220"/>
  <c r="L427"/>
  <c r="L218"/>
  <c r="L669"/>
  <c r="L668"/>
  <c r="L667"/>
  <c r="L458"/>
  <c r="L665"/>
  <c r="L456"/>
  <c r="L663"/>
  <c r="L454"/>
  <c r="L661"/>
  <c r="L452"/>
  <c r="L447"/>
  <c r="L654"/>
  <c r="L446"/>
  <c r="L304"/>
  <c r="L302"/>
  <c r="L300"/>
  <c r="L298"/>
  <c r="L296"/>
  <c r="L399"/>
  <c r="L398"/>
  <c r="L397"/>
  <c r="L396"/>
  <c r="L395"/>
  <c r="L290"/>
  <c r="L186"/>
  <c r="L82"/>
  <c r="L737"/>
  <c r="L529"/>
  <c r="L736"/>
  <c r="L528"/>
  <c r="L735"/>
  <c r="L527"/>
  <c r="L734"/>
  <c r="L526"/>
  <c r="L733"/>
  <c r="L525"/>
  <c r="L836"/>
  <c r="L175"/>
  <c r="L71"/>
  <c r="L174"/>
  <c r="L70"/>
  <c r="L173"/>
  <c r="L69"/>
  <c r="L172"/>
  <c r="L68"/>
  <c r="L171"/>
  <c r="L67"/>
  <c r="L170"/>
  <c r="L66"/>
  <c r="L169"/>
  <c r="L65"/>
  <c r="L168"/>
  <c r="L64"/>
  <c r="L167"/>
  <c r="L63"/>
  <c r="L166"/>
  <c r="L62"/>
  <c r="L165"/>
  <c r="L61"/>
  <c r="L164"/>
  <c r="L60"/>
  <c r="L163"/>
  <c r="L59"/>
  <c r="L162"/>
  <c r="L58"/>
  <c r="L161"/>
  <c r="L57"/>
  <c r="L368"/>
  <c r="L264"/>
  <c r="L56"/>
  <c r="L34"/>
  <c r="L33"/>
  <c r="L32"/>
  <c r="L239"/>
  <c r="L342"/>
  <c r="L134"/>
  <c r="F134"/>
  <c r="L30"/>
  <c r="Y179" i="5"/>
  <c r="V179" s="1"/>
  <c r="T197" s="1"/>
  <c r="U197" s="1"/>
  <c r="Y175"/>
  <c r="V175" s="1"/>
  <c r="T193" s="1"/>
  <c r="U193" s="1"/>
  <c r="Y171"/>
  <c r="V171" s="1"/>
  <c r="T189" s="1"/>
  <c r="U189" s="1"/>
  <c r="Y167"/>
  <c r="V167" s="1"/>
  <c r="T185" s="1"/>
  <c r="U185" s="1"/>
  <c r="Y93"/>
  <c r="V93" s="1"/>
  <c r="T111" s="1"/>
  <c r="U111" s="1"/>
  <c r="Y237"/>
  <c r="V237" s="1"/>
  <c r="T255" s="1"/>
  <c r="U255" s="1"/>
  <c r="Y58"/>
  <c r="V58" s="1"/>
  <c r="T76" s="1"/>
  <c r="U76" s="1"/>
  <c r="T61"/>
  <c r="T133"/>
  <c r="T205"/>
  <c r="T277"/>
  <c r="T349"/>
  <c r="T493"/>
  <c r="T565"/>
  <c r="S308"/>
  <c r="I236"/>
  <c r="I164"/>
  <c r="I20"/>
  <c r="I92"/>
  <c r="I287"/>
  <c r="I359"/>
  <c r="I503"/>
  <c r="I143"/>
  <c r="I575"/>
  <c r="I215"/>
  <c r="I71"/>
  <c r="I431"/>
  <c r="I430"/>
  <c r="I142"/>
  <c r="I358"/>
  <c r="I214"/>
  <c r="I70"/>
  <c r="I286"/>
  <c r="I502"/>
  <c r="I574"/>
  <c r="I357"/>
  <c r="I285"/>
  <c r="I429"/>
  <c r="I501"/>
  <c r="I141"/>
  <c r="I573"/>
  <c r="I213"/>
  <c r="I69"/>
  <c r="I356"/>
  <c r="I428"/>
  <c r="I140"/>
  <c r="I284"/>
  <c r="I500"/>
  <c r="I572"/>
  <c r="I212"/>
  <c r="I68"/>
  <c r="I283"/>
  <c r="I355"/>
  <c r="I499"/>
  <c r="I139"/>
  <c r="I571"/>
  <c r="I211"/>
  <c r="I67"/>
  <c r="I427"/>
  <c r="I426"/>
  <c r="I570"/>
  <c r="I210"/>
  <c r="I66"/>
  <c r="I282"/>
  <c r="I498"/>
  <c r="I354"/>
  <c r="I138"/>
  <c r="I353"/>
  <c r="I281"/>
  <c r="I425"/>
  <c r="I497"/>
  <c r="I137"/>
  <c r="I569"/>
  <c r="I209"/>
  <c r="I65"/>
  <c r="I280"/>
  <c r="I496"/>
  <c r="I136"/>
  <c r="I352"/>
  <c r="I424"/>
  <c r="I568"/>
  <c r="I208"/>
  <c r="I64"/>
  <c r="I495"/>
  <c r="I135"/>
  <c r="I567"/>
  <c r="I207"/>
  <c r="I351"/>
  <c r="I423"/>
  <c r="I63"/>
  <c r="I279"/>
  <c r="I494"/>
  <c r="I134"/>
  <c r="I278"/>
  <c r="I350"/>
  <c r="I422"/>
  <c r="I566"/>
  <c r="I206"/>
  <c r="I62"/>
  <c r="I349"/>
  <c r="I565"/>
  <c r="I205"/>
  <c r="I421"/>
  <c r="I277"/>
  <c r="I493"/>
  <c r="I61"/>
  <c r="I133"/>
  <c r="I276"/>
  <c r="I420"/>
  <c r="I564"/>
  <c r="I204"/>
  <c r="I60"/>
  <c r="I348"/>
  <c r="I492"/>
  <c r="I132"/>
  <c r="I131"/>
  <c r="I563"/>
  <c r="I419"/>
  <c r="I347"/>
  <c r="I491"/>
  <c r="I59"/>
  <c r="I275"/>
  <c r="I203"/>
  <c r="I166"/>
  <c r="I94"/>
  <c r="I22"/>
  <c r="I310"/>
  <c r="I382"/>
  <c r="I526"/>
  <c r="I238"/>
  <c r="I454"/>
  <c r="I273"/>
  <c r="I561"/>
  <c r="I489"/>
  <c r="I417"/>
  <c r="I201"/>
  <c r="I129"/>
  <c r="I57"/>
  <c r="I345"/>
  <c r="T708" i="6" l="1"/>
  <c r="T707" s="1"/>
  <c r="X499"/>
  <c r="X501"/>
  <c r="AC395"/>
  <c r="AC394"/>
  <c r="AC396"/>
  <c r="AC398"/>
  <c r="AC400"/>
  <c r="AC406"/>
  <c r="AC408"/>
  <c r="AC401"/>
  <c r="AC409"/>
  <c r="AC402"/>
  <c r="AC404"/>
  <c r="AC299"/>
  <c r="AC304"/>
  <c r="AC294"/>
  <c r="AC303"/>
  <c r="AC293"/>
  <c r="AC295"/>
  <c r="AC405"/>
  <c r="AC407"/>
  <c r="AC397"/>
  <c r="AC399"/>
  <c r="AC403"/>
  <c r="AC345"/>
  <c r="AC347"/>
  <c r="AC349"/>
  <c r="AC351"/>
  <c r="AC357"/>
  <c r="AC350"/>
  <c r="AC352"/>
  <c r="AC343"/>
  <c r="AC353"/>
  <c r="AC355"/>
  <c r="AC342"/>
  <c r="AC344"/>
  <c r="AC346"/>
  <c r="AC348"/>
  <c r="AC354"/>
  <c r="AC356"/>
  <c r="AC238"/>
  <c r="AC241"/>
  <c r="U710"/>
  <c r="AC243"/>
  <c r="AC244"/>
  <c r="AC245"/>
  <c r="AC248"/>
  <c r="AC246"/>
  <c r="AC247"/>
  <c r="AC252"/>
  <c r="AC239"/>
  <c r="AC240"/>
  <c r="AC242"/>
  <c r="AC249"/>
  <c r="AC250"/>
  <c r="AC251"/>
  <c r="AC253"/>
  <c r="AC30"/>
  <c r="AC31"/>
  <c r="AC44"/>
  <c r="AC33"/>
  <c r="AC36"/>
  <c r="AC40"/>
  <c r="AC41"/>
  <c r="AC43"/>
  <c r="AC45"/>
  <c r="AC32"/>
  <c r="AC34"/>
  <c r="AC35"/>
  <c r="AC37"/>
  <c r="AC38"/>
  <c r="AC39"/>
  <c r="AC42"/>
  <c r="T165" i="5"/>
  <c r="T273"/>
  <c r="T129"/>
  <c r="T237"/>
  <c r="T21"/>
  <c r="T57"/>
  <c r="T93"/>
  <c r="U709" i="6"/>
  <c r="T201" i="5"/>
  <c r="Y264" i="6"/>
  <c r="T240"/>
  <c r="T136"/>
  <c r="T344"/>
  <c r="T396"/>
  <c r="T395" s="1"/>
  <c r="T500"/>
  <c r="T499" s="1"/>
  <c r="T760"/>
  <c r="U189"/>
  <c r="U397"/>
  <c r="U501"/>
  <c r="U606"/>
  <c r="U814"/>
  <c r="T84"/>
  <c r="T83" s="1"/>
  <c r="T292"/>
  <c r="T291" s="1"/>
  <c r="T656"/>
  <c r="T552"/>
  <c r="T812"/>
  <c r="T811" s="1"/>
  <c r="U190"/>
  <c r="U398"/>
  <c r="U502"/>
  <c r="U605"/>
  <c r="U813"/>
  <c r="S429" i="5"/>
  <c r="S357"/>
  <c r="S284"/>
  <c r="S356"/>
  <c r="S425"/>
  <c r="S353"/>
  <c r="S350"/>
  <c r="S278"/>
  <c r="S421"/>
  <c r="S349"/>
  <c r="S419"/>
  <c r="T452"/>
  <c r="T236"/>
  <c r="T524"/>
  <c r="T380"/>
  <c r="T308"/>
  <c r="T20"/>
  <c r="T92"/>
  <c r="T164"/>
  <c r="S382"/>
  <c r="S310"/>
  <c r="T344"/>
  <c r="T56"/>
  <c r="T128"/>
  <c r="T200"/>
  <c r="T416"/>
  <c r="T488"/>
  <c r="T560"/>
  <c r="T272"/>
  <c r="T607" i="6"/>
  <c r="S494" i="5"/>
  <c r="Y494"/>
  <c r="V494" s="1"/>
  <c r="T512" s="1"/>
  <c r="U512" s="1"/>
  <c r="S498"/>
  <c r="Y498"/>
  <c r="V498" s="1"/>
  <c r="T516" s="1"/>
  <c r="U516" s="1"/>
  <c r="S502"/>
  <c r="Y502"/>
  <c r="V502" s="1"/>
  <c r="T520" s="1"/>
  <c r="U520" s="1"/>
  <c r="S275"/>
  <c r="Y275"/>
  <c r="V275" s="1"/>
  <c r="T293" s="1"/>
  <c r="U293" s="1"/>
  <c r="Y568" i="6"/>
  <c r="S568"/>
  <c r="V568" s="1"/>
  <c r="T504"/>
  <c r="T712"/>
  <c r="Y472"/>
  <c r="S716"/>
  <c r="V716" s="1"/>
  <c r="S566" i="5"/>
  <c r="Y566"/>
  <c r="V566" s="1"/>
  <c r="T584" s="1"/>
  <c r="U584" s="1"/>
  <c r="S574"/>
  <c r="Y574"/>
  <c r="V574" s="1"/>
  <c r="T592" s="1"/>
  <c r="U592" s="1"/>
  <c r="S493"/>
  <c r="Y493"/>
  <c r="V493" s="1"/>
  <c r="T511" s="1"/>
  <c r="U511" s="1"/>
  <c r="S497"/>
  <c r="Y497"/>
  <c r="V497" s="1"/>
  <c r="T515" s="1"/>
  <c r="U515" s="1"/>
  <c r="S501"/>
  <c r="Y501"/>
  <c r="V501" s="1"/>
  <c r="T519" s="1"/>
  <c r="U519" s="1"/>
  <c r="S526"/>
  <c r="Y526"/>
  <c r="V526" s="1"/>
  <c r="T544" s="1"/>
  <c r="U544" s="1"/>
  <c r="S276"/>
  <c r="Y276"/>
  <c r="V276" s="1"/>
  <c r="T294" s="1"/>
  <c r="U294" s="1"/>
  <c r="S283"/>
  <c r="Y283"/>
  <c r="V283" s="1"/>
  <c r="S287"/>
  <c r="Y287"/>
  <c r="V287" s="1"/>
  <c r="S351"/>
  <c r="Y351"/>
  <c r="V351" s="1"/>
  <c r="T369" s="1"/>
  <c r="U369" s="1"/>
  <c r="S277"/>
  <c r="Y277"/>
  <c r="V277" s="1"/>
  <c r="T295" s="1"/>
  <c r="U295" s="1"/>
  <c r="S570"/>
  <c r="Y570"/>
  <c r="V570" s="1"/>
  <c r="T588" s="1"/>
  <c r="U588" s="1"/>
  <c r="S563"/>
  <c r="Y563"/>
  <c r="V563" s="1"/>
  <c r="T581" s="1"/>
  <c r="U581" s="1"/>
  <c r="S567"/>
  <c r="Y567"/>
  <c r="V567" s="1"/>
  <c r="T585" s="1"/>
  <c r="U585" s="1"/>
  <c r="S571"/>
  <c r="Y571"/>
  <c r="V571" s="1"/>
  <c r="T589" s="1"/>
  <c r="U589" s="1"/>
  <c r="S575"/>
  <c r="Y575"/>
  <c r="V575" s="1"/>
  <c r="T593" s="1"/>
  <c r="U593" s="1"/>
  <c r="S426"/>
  <c r="Y426"/>
  <c r="V426" s="1"/>
  <c r="T444" s="1"/>
  <c r="U444" s="1"/>
  <c r="S430"/>
  <c r="Y430"/>
  <c r="V430" s="1"/>
  <c r="T448" s="1"/>
  <c r="U448" s="1"/>
  <c r="L86" i="2"/>
  <c r="M86"/>
  <c r="L88"/>
  <c r="M88"/>
  <c r="L84"/>
  <c r="M84"/>
  <c r="L80"/>
  <c r="M80"/>
  <c r="M87"/>
  <c r="L87"/>
  <c r="L82"/>
  <c r="M82"/>
  <c r="U313" i="5"/>
  <c r="U494"/>
  <c r="U134"/>
  <c r="Y464" i="6"/>
  <c r="S464"/>
  <c r="V464" s="1"/>
  <c r="T503"/>
  <c r="T455" s="1"/>
  <c r="S83"/>
  <c r="V83" s="1"/>
  <c r="S84"/>
  <c r="V84" s="1"/>
  <c r="T556"/>
  <c r="Y56"/>
  <c r="S499"/>
  <c r="V499" s="1"/>
  <c r="S500"/>
  <c r="V500" s="1"/>
  <c r="S501"/>
  <c r="V501" s="1"/>
  <c r="S502"/>
  <c r="V502" s="1"/>
  <c r="S85"/>
  <c r="V85" s="1"/>
  <c r="S86"/>
  <c r="V86" s="1"/>
  <c r="S87"/>
  <c r="V87" s="1"/>
  <c r="S187"/>
  <c r="V187" s="1"/>
  <c r="S189"/>
  <c r="V189" s="1"/>
  <c r="S191"/>
  <c r="V191" s="1"/>
  <c r="S603"/>
  <c r="V603" s="1"/>
  <c r="S605"/>
  <c r="V605" s="1"/>
  <c r="T36"/>
  <c r="T399"/>
  <c r="T711"/>
  <c r="S291"/>
  <c r="V291" s="1"/>
  <c r="S292"/>
  <c r="V292" s="1"/>
  <c r="S293"/>
  <c r="V293" s="1"/>
  <c r="S294"/>
  <c r="V294" s="1"/>
  <c r="S91"/>
  <c r="V91" s="1"/>
  <c r="S95"/>
  <c r="V95" s="1"/>
  <c r="S506"/>
  <c r="V506" s="1"/>
  <c r="S193"/>
  <c r="V193" s="1"/>
  <c r="S510"/>
  <c r="V510" s="1"/>
  <c r="S20" i="5"/>
  <c r="Y20"/>
  <c r="V20" s="1"/>
  <c r="T38" s="1"/>
  <c r="S60"/>
  <c r="Y60"/>
  <c r="V60" s="1"/>
  <c r="T78" s="1"/>
  <c r="U78" s="1"/>
  <c r="S204"/>
  <c r="Y204"/>
  <c r="V204" s="1"/>
  <c r="T222" s="1"/>
  <c r="U222" s="1"/>
  <c r="S212"/>
  <c r="Y212"/>
  <c r="V212" s="1"/>
  <c r="T230" s="1"/>
  <c r="U230" s="1"/>
  <c r="S214"/>
  <c r="Y214"/>
  <c r="V214" s="1"/>
  <c r="T232" s="1"/>
  <c r="U232" s="1"/>
  <c r="S572"/>
  <c r="Y572"/>
  <c r="V572" s="1"/>
  <c r="T590" s="1"/>
  <c r="U590" s="1"/>
  <c r="S427"/>
  <c r="Y427"/>
  <c r="V427" s="1"/>
  <c r="T445" s="1"/>
  <c r="U445" s="1"/>
  <c r="S354"/>
  <c r="Y354"/>
  <c r="V354" s="1"/>
  <c r="T372" s="1"/>
  <c r="U372" s="1"/>
  <c r="S417"/>
  <c r="Y417"/>
  <c r="V417" s="1"/>
  <c r="T435" s="1"/>
  <c r="U435" s="1"/>
  <c r="S230" i="6"/>
  <c r="V230" s="1"/>
  <c r="AB152"/>
  <c r="S385"/>
  <c r="V385" s="1"/>
  <c r="AA359"/>
  <c r="S697"/>
  <c r="V697" s="1"/>
  <c r="AA671"/>
  <c r="S140" i="5"/>
  <c r="Y140"/>
  <c r="V140" s="1"/>
  <c r="T158" s="1"/>
  <c r="U158" s="1"/>
  <c r="S142"/>
  <c r="Y142"/>
  <c r="V142" s="1"/>
  <c r="T160" s="1"/>
  <c r="U160" s="1"/>
  <c r="S496"/>
  <c r="Y496"/>
  <c r="V496" s="1"/>
  <c r="T514" s="1"/>
  <c r="U514" s="1"/>
  <c r="S62"/>
  <c r="Y62"/>
  <c r="V62" s="1"/>
  <c r="T80" s="1"/>
  <c r="U80" s="1"/>
  <c r="S64"/>
  <c r="Y64"/>
  <c r="V64" s="1"/>
  <c r="T82" s="1"/>
  <c r="U82" s="1"/>
  <c r="S70"/>
  <c r="Y70"/>
  <c r="V70" s="1"/>
  <c r="T88" s="1"/>
  <c r="U88" s="1"/>
  <c r="S92"/>
  <c r="Y92"/>
  <c r="V92" s="1"/>
  <c r="T110" s="1"/>
  <c r="S208"/>
  <c r="Y208"/>
  <c r="V208" s="1"/>
  <c r="T226" s="1"/>
  <c r="U226" s="1"/>
  <c r="S210"/>
  <c r="Y210"/>
  <c r="V210" s="1"/>
  <c r="T228" s="1"/>
  <c r="U228" s="1"/>
  <c r="S236"/>
  <c r="Y236"/>
  <c r="V236" s="1"/>
  <c r="T254" s="1"/>
  <c r="S391" i="6"/>
  <c r="V391" s="1"/>
  <c r="AA365"/>
  <c r="S644"/>
  <c r="V644" s="1"/>
  <c r="AB566"/>
  <c r="S703"/>
  <c r="V703" s="1"/>
  <c r="AA677"/>
  <c r="S807"/>
  <c r="V807" s="1"/>
  <c r="AA781"/>
  <c r="S136" i="5"/>
  <c r="Y136"/>
  <c r="V136" s="1"/>
  <c r="T154" s="1"/>
  <c r="U154" s="1"/>
  <c r="S138"/>
  <c r="Y138"/>
  <c r="V138" s="1"/>
  <c r="T156" s="1"/>
  <c r="U156" s="1"/>
  <c r="S164"/>
  <c r="Y164"/>
  <c r="V164" s="1"/>
  <c r="T182" s="1"/>
  <c r="S524"/>
  <c r="U529" s="1"/>
  <c r="Y524"/>
  <c r="V524" s="1"/>
  <c r="T542" s="1"/>
  <c r="S282"/>
  <c r="Y282"/>
  <c r="V282" s="1"/>
  <c r="S286"/>
  <c r="Y286"/>
  <c r="V286" s="1"/>
  <c r="S345"/>
  <c r="Y345"/>
  <c r="V345" s="1"/>
  <c r="T363" s="1"/>
  <c r="U363" s="1"/>
  <c r="S352"/>
  <c r="Y352"/>
  <c r="V352" s="1"/>
  <c r="T370" s="1"/>
  <c r="U370" s="1"/>
  <c r="S135" i="6"/>
  <c r="V135" s="1"/>
  <c r="Y135"/>
  <c r="S297" i="5"/>
  <c r="Y297"/>
  <c r="V297" s="1"/>
  <c r="S303"/>
  <c r="Y303"/>
  <c r="V303" s="1"/>
  <c r="S305"/>
  <c r="Y305"/>
  <c r="V305" s="1"/>
  <c r="S89" i="6"/>
  <c r="V89" s="1"/>
  <c r="Z37"/>
  <c r="S93"/>
  <c r="V93" s="1"/>
  <c r="Z41"/>
  <c r="S97"/>
  <c r="V97" s="1"/>
  <c r="Z45"/>
  <c r="S764"/>
  <c r="V764" s="1"/>
  <c r="Y764"/>
  <c r="S766"/>
  <c r="V766" s="1"/>
  <c r="Y766"/>
  <c r="S768"/>
  <c r="V768" s="1"/>
  <c r="Y768"/>
  <c r="S770"/>
  <c r="V770" s="1"/>
  <c r="Y770"/>
  <c r="S564"/>
  <c r="V564" s="1"/>
  <c r="Y564"/>
  <c r="S57" i="5"/>
  <c r="Y57"/>
  <c r="V57" s="1"/>
  <c r="T75" s="1"/>
  <c r="U75" s="1"/>
  <c r="S61"/>
  <c r="Y61"/>
  <c r="V61" s="1"/>
  <c r="T79" s="1"/>
  <c r="U79" s="1"/>
  <c r="S67"/>
  <c r="Y67"/>
  <c r="V67" s="1"/>
  <c r="T85" s="1"/>
  <c r="U85" s="1"/>
  <c r="S69"/>
  <c r="Y69"/>
  <c r="V69" s="1"/>
  <c r="T87" s="1"/>
  <c r="U87" s="1"/>
  <c r="S94"/>
  <c r="Y94"/>
  <c r="V94" s="1"/>
  <c r="T112" s="1"/>
  <c r="U112" s="1"/>
  <c r="S205"/>
  <c r="Y205"/>
  <c r="V205" s="1"/>
  <c r="T223" s="1"/>
  <c r="U223" s="1"/>
  <c r="S207"/>
  <c r="Y207"/>
  <c r="V207" s="1"/>
  <c r="T225" s="1"/>
  <c r="U225" s="1"/>
  <c r="S213"/>
  <c r="Y213"/>
  <c r="V213" s="1"/>
  <c r="T231" s="1"/>
  <c r="U231" s="1"/>
  <c r="S215"/>
  <c r="Y215"/>
  <c r="V215" s="1"/>
  <c r="T233" s="1"/>
  <c r="U233" s="1"/>
  <c r="S238"/>
  <c r="Y238"/>
  <c r="V238" s="1"/>
  <c r="T256" s="1"/>
  <c r="U256" s="1"/>
  <c r="S228" i="6"/>
  <c r="V228" s="1"/>
  <c r="AB150"/>
  <c r="S389"/>
  <c r="V389" s="1"/>
  <c r="AA363"/>
  <c r="S701"/>
  <c r="V701" s="1"/>
  <c r="AA675"/>
  <c r="S59" i="5"/>
  <c r="Y59"/>
  <c r="V59" s="1"/>
  <c r="T77" s="1"/>
  <c r="U77" s="1"/>
  <c r="S135"/>
  <c r="Y135"/>
  <c r="V135" s="1"/>
  <c r="T153" s="1"/>
  <c r="U153" s="1"/>
  <c r="S137"/>
  <c r="Y137"/>
  <c r="V137" s="1"/>
  <c r="T155" s="1"/>
  <c r="U155" s="1"/>
  <c r="S143"/>
  <c r="Y143"/>
  <c r="V143" s="1"/>
  <c r="T161" s="1"/>
  <c r="U161" s="1"/>
  <c r="S201"/>
  <c r="Y201"/>
  <c r="V201" s="1"/>
  <c r="T219" s="1"/>
  <c r="U219" s="1"/>
  <c r="S238" i="6"/>
  <c r="Y238"/>
  <c r="S136"/>
  <c r="V136" s="1"/>
  <c r="Y136"/>
  <c r="S240"/>
  <c r="V240" s="1"/>
  <c r="Y240"/>
  <c r="S137"/>
  <c r="V137" s="1"/>
  <c r="Y137"/>
  <c r="S346"/>
  <c r="V346" s="1"/>
  <c r="Y346"/>
  <c r="S296" i="5"/>
  <c r="Y296"/>
  <c r="V296" s="1"/>
  <c r="S302"/>
  <c r="Y302"/>
  <c r="V302" s="1"/>
  <c r="S304"/>
  <c r="Y304"/>
  <c r="V304" s="1"/>
  <c r="S160" i="6"/>
  <c r="AA134"/>
  <c r="S266"/>
  <c r="V266" s="1"/>
  <c r="AA240"/>
  <c r="S370"/>
  <c r="V370" s="1"/>
  <c r="AA344"/>
  <c r="S268"/>
  <c r="V268" s="1"/>
  <c r="AA242"/>
  <c r="S372"/>
  <c r="V372" s="1"/>
  <c r="AA346"/>
  <c r="S270"/>
  <c r="V270" s="1"/>
  <c r="AA244"/>
  <c r="S374"/>
  <c r="V374" s="1"/>
  <c r="AA348"/>
  <c r="S272"/>
  <c r="V272" s="1"/>
  <c r="AA246"/>
  <c r="S376"/>
  <c r="V376" s="1"/>
  <c r="AA350"/>
  <c r="S274"/>
  <c r="V274" s="1"/>
  <c r="AA248"/>
  <c r="S378"/>
  <c r="V378" s="1"/>
  <c r="AA352"/>
  <c r="S276"/>
  <c r="V276" s="1"/>
  <c r="AA250"/>
  <c r="S380"/>
  <c r="V380" s="1"/>
  <c r="AA354"/>
  <c r="S278"/>
  <c r="V278" s="1"/>
  <c r="AA252"/>
  <c r="S382"/>
  <c r="V382" s="1"/>
  <c r="AA356"/>
  <c r="S524"/>
  <c r="AB446"/>
  <c r="S628"/>
  <c r="AB550"/>
  <c r="S630"/>
  <c r="V630" s="1"/>
  <c r="AB552"/>
  <c r="S838"/>
  <c r="V838" s="1"/>
  <c r="AB760"/>
  <c r="S632"/>
  <c r="V632" s="1"/>
  <c r="AB554"/>
  <c r="S840"/>
  <c r="V840" s="1"/>
  <c r="AB762"/>
  <c r="S297"/>
  <c r="V297" s="1"/>
  <c r="Z245"/>
  <c r="S299"/>
  <c r="V299" s="1"/>
  <c r="Z247"/>
  <c r="S301"/>
  <c r="V301" s="1"/>
  <c r="Z249"/>
  <c r="S303"/>
  <c r="V303" s="1"/>
  <c r="Z251"/>
  <c r="S305"/>
  <c r="V305" s="1"/>
  <c r="Z253"/>
  <c r="S657"/>
  <c r="V657" s="1"/>
  <c r="Y657"/>
  <c r="S765"/>
  <c r="V765" s="1"/>
  <c r="Y765"/>
  <c r="S558"/>
  <c r="V558" s="1"/>
  <c r="Y558"/>
  <c r="S662"/>
  <c r="V662" s="1"/>
  <c r="Y662"/>
  <c r="S428"/>
  <c r="V428" s="1"/>
  <c r="AB350"/>
  <c r="S222"/>
  <c r="V222" s="1"/>
  <c r="AB144"/>
  <c r="S432"/>
  <c r="V432" s="1"/>
  <c r="AB354"/>
  <c r="S226"/>
  <c r="V226" s="1"/>
  <c r="AB148"/>
  <c r="S784"/>
  <c r="AA758"/>
  <c r="S577"/>
  <c r="V577" s="1"/>
  <c r="AA551"/>
  <c r="S787"/>
  <c r="V787" s="1"/>
  <c r="AA761"/>
  <c r="S581"/>
  <c r="V581" s="1"/>
  <c r="AA555"/>
  <c r="S634"/>
  <c r="V634" s="1"/>
  <c r="AB556"/>
  <c r="S842"/>
  <c r="V842" s="1"/>
  <c r="AB764"/>
  <c r="S843"/>
  <c r="V843" s="1"/>
  <c r="AB765"/>
  <c r="S844"/>
  <c r="V844" s="1"/>
  <c r="AB766"/>
  <c r="S845"/>
  <c r="V845" s="1"/>
  <c r="AB767"/>
  <c r="S846"/>
  <c r="V846" s="1"/>
  <c r="AB768"/>
  <c r="S847"/>
  <c r="V847" s="1"/>
  <c r="AB769"/>
  <c r="S640"/>
  <c r="V640" s="1"/>
  <c r="AB562"/>
  <c r="S849"/>
  <c r="V849" s="1"/>
  <c r="AB771"/>
  <c r="S642"/>
  <c r="V642" s="1"/>
  <c r="AB564"/>
  <c r="S851"/>
  <c r="V851" s="1"/>
  <c r="AB773"/>
  <c r="S244"/>
  <c r="V244" s="1"/>
  <c r="Y244"/>
  <c r="S348"/>
  <c r="V348" s="1"/>
  <c r="Y348"/>
  <c r="S246"/>
  <c r="V246" s="1"/>
  <c r="Y246"/>
  <c r="S350"/>
  <c r="V350" s="1"/>
  <c r="Y350"/>
  <c r="S248"/>
  <c r="V248" s="1"/>
  <c r="Y248"/>
  <c r="S41"/>
  <c r="V41" s="1"/>
  <c r="Y41"/>
  <c r="S145"/>
  <c r="V145" s="1"/>
  <c r="Y145"/>
  <c r="S44"/>
  <c r="V44" s="1"/>
  <c r="Y44"/>
  <c r="S253"/>
  <c r="V253" s="1"/>
  <c r="Y253"/>
  <c r="S503"/>
  <c r="V503" s="1"/>
  <c r="Z451"/>
  <c r="S214"/>
  <c r="V214" s="1"/>
  <c r="AB136"/>
  <c r="S318"/>
  <c r="V318" s="1"/>
  <c r="AB240"/>
  <c r="S216"/>
  <c r="V216" s="1"/>
  <c r="AB138"/>
  <c r="S320"/>
  <c r="V320" s="1"/>
  <c r="AB242"/>
  <c r="S400"/>
  <c r="V400" s="1"/>
  <c r="Z348"/>
  <c r="S194"/>
  <c r="V194" s="1"/>
  <c r="Z142"/>
  <c r="S404"/>
  <c r="V404" s="1"/>
  <c r="Z352"/>
  <c r="S198"/>
  <c r="V198" s="1"/>
  <c r="Z146"/>
  <c r="S408"/>
  <c r="V408" s="1"/>
  <c r="Z356"/>
  <c r="S552"/>
  <c r="V552" s="1"/>
  <c r="Y552"/>
  <c r="S761"/>
  <c r="V761" s="1"/>
  <c r="Y761"/>
  <c r="S762"/>
  <c r="V762" s="1"/>
  <c r="Y762"/>
  <c r="S555"/>
  <c r="V555" s="1"/>
  <c r="Y555"/>
  <c r="S478"/>
  <c r="V478" s="1"/>
  <c r="AA452"/>
  <c r="S479"/>
  <c r="V479" s="1"/>
  <c r="AA453"/>
  <c r="S480"/>
  <c r="V480" s="1"/>
  <c r="AA454"/>
  <c r="S481"/>
  <c r="V481" s="1"/>
  <c r="AA455"/>
  <c r="S609"/>
  <c r="V609" s="1"/>
  <c r="Z557"/>
  <c r="S611"/>
  <c r="V611" s="1"/>
  <c r="Z559"/>
  <c r="S613"/>
  <c r="V613" s="1"/>
  <c r="Z561"/>
  <c r="S615"/>
  <c r="V615" s="1"/>
  <c r="Z563"/>
  <c r="S617"/>
  <c r="V617" s="1"/>
  <c r="Z565"/>
  <c r="S819"/>
  <c r="V819" s="1"/>
  <c r="Z767"/>
  <c r="S612"/>
  <c r="V612" s="1"/>
  <c r="Z560"/>
  <c r="S614"/>
  <c r="V614" s="1"/>
  <c r="Z562"/>
  <c r="S823"/>
  <c r="V823" s="1"/>
  <c r="Z771"/>
  <c r="S616"/>
  <c r="V616" s="1"/>
  <c r="Z564"/>
  <c r="S637"/>
  <c r="V637" s="1"/>
  <c r="AB559"/>
  <c r="S639"/>
  <c r="V639" s="1"/>
  <c r="AB561"/>
  <c r="S195"/>
  <c r="V195" s="1"/>
  <c r="Z143"/>
  <c r="S199"/>
  <c r="V199" s="1"/>
  <c r="Z147"/>
  <c r="S689"/>
  <c r="V689" s="1"/>
  <c r="AA663"/>
  <c r="S793"/>
  <c r="V793" s="1"/>
  <c r="AA767"/>
  <c r="S586"/>
  <c r="V586" s="1"/>
  <c r="AA560"/>
  <c r="S691"/>
  <c r="V691" s="1"/>
  <c r="AA665"/>
  <c r="S795"/>
  <c r="V795" s="1"/>
  <c r="AA769"/>
  <c r="S588"/>
  <c r="V588" s="1"/>
  <c r="AA562"/>
  <c r="S693"/>
  <c r="V693" s="1"/>
  <c r="AA667"/>
  <c r="S797"/>
  <c r="V797" s="1"/>
  <c r="AA771"/>
  <c r="S590"/>
  <c r="V590" s="1"/>
  <c r="AA564"/>
  <c r="S695"/>
  <c r="V695" s="1"/>
  <c r="AA669"/>
  <c r="S799"/>
  <c r="V799" s="1"/>
  <c r="AA773"/>
  <c r="S115"/>
  <c r="V115" s="1"/>
  <c r="AB37"/>
  <c r="S323"/>
  <c r="V323" s="1"/>
  <c r="AB245"/>
  <c r="S117"/>
  <c r="V117" s="1"/>
  <c r="AB39"/>
  <c r="S325"/>
  <c r="V325" s="1"/>
  <c r="AB247"/>
  <c r="S119"/>
  <c r="V119" s="1"/>
  <c r="AB41"/>
  <c r="S327"/>
  <c r="V327" s="1"/>
  <c r="AB249"/>
  <c r="S121"/>
  <c r="V121" s="1"/>
  <c r="AB43"/>
  <c r="S329"/>
  <c r="V329" s="1"/>
  <c r="AB251"/>
  <c r="S123"/>
  <c r="V123" s="1"/>
  <c r="AB45"/>
  <c r="S331"/>
  <c r="V331" s="1"/>
  <c r="AB253"/>
  <c r="S476"/>
  <c r="V476" s="1"/>
  <c r="AA450"/>
  <c r="S684"/>
  <c r="V684" s="1"/>
  <c r="AA658"/>
  <c r="S608"/>
  <c r="V608" s="1"/>
  <c r="Z556"/>
  <c r="S610"/>
  <c r="V610" s="1"/>
  <c r="Z558"/>
  <c r="S508"/>
  <c r="V508" s="1"/>
  <c r="Z456"/>
  <c r="S512"/>
  <c r="V512" s="1"/>
  <c r="Z460"/>
  <c r="S825"/>
  <c r="V825" s="1"/>
  <c r="Z773"/>
  <c r="S536"/>
  <c r="V536" s="1"/>
  <c r="AB458"/>
  <c r="S539"/>
  <c r="V539" s="1"/>
  <c r="AB461"/>
  <c r="S347"/>
  <c r="V347" s="1"/>
  <c r="Y347"/>
  <c r="S352"/>
  <c r="V352" s="1"/>
  <c r="Y352"/>
  <c r="S354"/>
  <c r="V354" s="1"/>
  <c r="Y354"/>
  <c r="S708"/>
  <c r="V708" s="1"/>
  <c r="Z656"/>
  <c r="S317"/>
  <c r="V317" s="1"/>
  <c r="AB239"/>
  <c r="S111"/>
  <c r="V111" s="1"/>
  <c r="AB33"/>
  <c r="S401"/>
  <c r="V401" s="1"/>
  <c r="Z349"/>
  <c r="S405"/>
  <c r="V405" s="1"/>
  <c r="Z353"/>
  <c r="S744"/>
  <c r="V744" s="1"/>
  <c r="AB666"/>
  <c r="S745"/>
  <c r="V745" s="1"/>
  <c r="AB667"/>
  <c r="S139"/>
  <c r="V139" s="1"/>
  <c r="Y139"/>
  <c r="S141"/>
  <c r="V141" s="1"/>
  <c r="Y141"/>
  <c r="S146"/>
  <c r="V146" s="1"/>
  <c r="Y146"/>
  <c r="S707"/>
  <c r="V707" s="1"/>
  <c r="Z655"/>
  <c r="S709"/>
  <c r="V709" s="1"/>
  <c r="Z657"/>
  <c r="S213"/>
  <c r="V213" s="1"/>
  <c r="AB135"/>
  <c r="S422"/>
  <c r="V422" s="1"/>
  <c r="AB344"/>
  <c r="S217"/>
  <c r="V217" s="1"/>
  <c r="AB139"/>
  <c r="S403"/>
  <c r="V403" s="1"/>
  <c r="Z351"/>
  <c r="S582"/>
  <c r="V582" s="1"/>
  <c r="AA556"/>
  <c r="S790"/>
  <c r="V790" s="1"/>
  <c r="AA764"/>
  <c r="S792"/>
  <c r="V792" s="1"/>
  <c r="AA766"/>
  <c r="S321"/>
  <c r="V321" s="1"/>
  <c r="AB243"/>
  <c r="S791"/>
  <c r="V791" s="1"/>
  <c r="AA765"/>
  <c r="S585"/>
  <c r="V585" s="1"/>
  <c r="AA559"/>
  <c r="I559" s="1"/>
  <c r="S66" i="5"/>
  <c r="Y66"/>
  <c r="V66" s="1"/>
  <c r="T84" s="1"/>
  <c r="U84" s="1"/>
  <c r="S68"/>
  <c r="Y68"/>
  <c r="V68" s="1"/>
  <c r="T86" s="1"/>
  <c r="U86" s="1"/>
  <c r="S206"/>
  <c r="Y206"/>
  <c r="V206" s="1"/>
  <c r="T224" s="1"/>
  <c r="U224" s="1"/>
  <c r="S564"/>
  <c r="Y564"/>
  <c r="V564" s="1"/>
  <c r="T582" s="1"/>
  <c r="U582" s="1"/>
  <c r="S568"/>
  <c r="Y568"/>
  <c r="V568" s="1"/>
  <c r="T586" s="1"/>
  <c r="U586" s="1"/>
  <c r="S420"/>
  <c r="Y420"/>
  <c r="V420" s="1"/>
  <c r="T438" s="1"/>
  <c r="U438" s="1"/>
  <c r="S431"/>
  <c r="Y431"/>
  <c r="V431" s="1"/>
  <c r="T449" s="1"/>
  <c r="U449" s="1"/>
  <c r="S358"/>
  <c r="Y358"/>
  <c r="V358" s="1"/>
  <c r="T376" s="1"/>
  <c r="U376" s="1"/>
  <c r="S424"/>
  <c r="Y424"/>
  <c r="V424" s="1"/>
  <c r="T442" s="1"/>
  <c r="U442" s="1"/>
  <c r="S647" i="6"/>
  <c r="V647" s="1"/>
  <c r="AB569"/>
  <c r="S132" i="5"/>
  <c r="Y132"/>
  <c r="V132" s="1"/>
  <c r="T150" s="1"/>
  <c r="U150" s="1"/>
  <c r="S134"/>
  <c r="Y134"/>
  <c r="V134" s="1"/>
  <c r="T152" s="1"/>
  <c r="U152" s="1"/>
  <c r="S492"/>
  <c r="Y492"/>
  <c r="V492" s="1"/>
  <c r="T510" s="1"/>
  <c r="U510" s="1"/>
  <c r="S500"/>
  <c r="Y500"/>
  <c r="V500" s="1"/>
  <c r="T518" s="1"/>
  <c r="U518" s="1"/>
  <c r="S454"/>
  <c r="U457" s="1"/>
  <c r="Y454"/>
  <c r="V454" s="1"/>
  <c r="T472" s="1"/>
  <c r="U472" s="1"/>
  <c r="S279"/>
  <c r="Y279"/>
  <c r="V279" s="1"/>
  <c r="T297" s="1"/>
  <c r="U297" s="1"/>
  <c r="S299"/>
  <c r="Y299"/>
  <c r="V299" s="1"/>
  <c r="S301"/>
  <c r="Y301"/>
  <c r="V301" s="1"/>
  <c r="S22"/>
  <c r="Y22"/>
  <c r="V22" s="1"/>
  <c r="T40" s="1"/>
  <c r="U40" s="1"/>
  <c r="S63"/>
  <c r="Y63"/>
  <c r="V63" s="1"/>
  <c r="T81" s="1"/>
  <c r="U81" s="1"/>
  <c r="S65"/>
  <c r="Y65"/>
  <c r="V65" s="1"/>
  <c r="T83" s="1"/>
  <c r="U83" s="1"/>
  <c r="S71"/>
  <c r="Y71"/>
  <c r="V71" s="1"/>
  <c r="T89" s="1"/>
  <c r="U89" s="1"/>
  <c r="S129"/>
  <c r="Y129"/>
  <c r="V129" s="1"/>
  <c r="T147" s="1"/>
  <c r="U147" s="1"/>
  <c r="S203"/>
  <c r="Y203"/>
  <c r="V203" s="1"/>
  <c r="T221" s="1"/>
  <c r="U221" s="1"/>
  <c r="S209"/>
  <c r="Y209"/>
  <c r="V209" s="1"/>
  <c r="T227" s="1"/>
  <c r="U227" s="1"/>
  <c r="S211"/>
  <c r="Y211"/>
  <c r="V211" s="1"/>
  <c r="T229" s="1"/>
  <c r="U229" s="1"/>
  <c r="S489"/>
  <c r="Y489"/>
  <c r="V489" s="1"/>
  <c r="T507" s="1"/>
  <c r="U507" s="1"/>
  <c r="S565"/>
  <c r="Y565"/>
  <c r="V565" s="1"/>
  <c r="T583" s="1"/>
  <c r="U583" s="1"/>
  <c r="S569"/>
  <c r="Y569"/>
  <c r="V569" s="1"/>
  <c r="T587" s="1"/>
  <c r="U587" s="1"/>
  <c r="S573"/>
  <c r="Y573"/>
  <c r="V573" s="1"/>
  <c r="T591" s="1"/>
  <c r="U591" s="1"/>
  <c r="S422"/>
  <c r="Y422"/>
  <c r="V422" s="1"/>
  <c r="T440" s="1"/>
  <c r="U440" s="1"/>
  <c r="S428"/>
  <c r="Y428"/>
  <c r="V428" s="1"/>
  <c r="T446" s="1"/>
  <c r="U446" s="1"/>
  <c r="S348"/>
  <c r="Y348"/>
  <c r="V348" s="1"/>
  <c r="T366" s="1"/>
  <c r="U366" s="1"/>
  <c r="S355"/>
  <c r="Y355"/>
  <c r="V355" s="1"/>
  <c r="T373" s="1"/>
  <c r="U373" s="1"/>
  <c r="S359"/>
  <c r="Y359"/>
  <c r="V359" s="1"/>
  <c r="T377" s="1"/>
  <c r="U377" s="1"/>
  <c r="S423"/>
  <c r="Y423"/>
  <c r="V423" s="1"/>
  <c r="T441" s="1"/>
  <c r="U441" s="1"/>
  <c r="S646" i="6"/>
  <c r="V646" s="1"/>
  <c r="AB568"/>
  <c r="S649"/>
  <c r="V649" s="1"/>
  <c r="AB571"/>
  <c r="S131" i="5"/>
  <c r="Y131"/>
  <c r="V131" s="1"/>
  <c r="T149" s="1"/>
  <c r="U149" s="1"/>
  <c r="S133"/>
  <c r="Y133"/>
  <c r="V133" s="1"/>
  <c r="T151" s="1"/>
  <c r="U151" s="1"/>
  <c r="S139"/>
  <c r="Y139"/>
  <c r="V139" s="1"/>
  <c r="T157" s="1"/>
  <c r="U157" s="1"/>
  <c r="S141"/>
  <c r="Y141"/>
  <c r="V141" s="1"/>
  <c r="T159" s="1"/>
  <c r="U159" s="1"/>
  <c r="S166"/>
  <c r="Y166"/>
  <c r="V166" s="1"/>
  <c r="T184" s="1"/>
  <c r="U184" s="1"/>
  <c r="S491"/>
  <c r="Y491"/>
  <c r="V491" s="1"/>
  <c r="T509" s="1"/>
  <c r="U509" s="1"/>
  <c r="S495"/>
  <c r="Y495"/>
  <c r="V495" s="1"/>
  <c r="T513" s="1"/>
  <c r="U513" s="1"/>
  <c r="S499"/>
  <c r="Y499"/>
  <c r="V499" s="1"/>
  <c r="T517" s="1"/>
  <c r="U517" s="1"/>
  <c r="S503"/>
  <c r="Y503"/>
  <c r="V503" s="1"/>
  <c r="T521" s="1"/>
  <c r="U521" s="1"/>
  <c r="S561"/>
  <c r="Y561"/>
  <c r="V561" s="1"/>
  <c r="T579" s="1"/>
  <c r="U579" s="1"/>
  <c r="S281"/>
  <c r="Y281"/>
  <c r="V281" s="1"/>
  <c r="T299" s="1"/>
  <c r="U299" s="1"/>
  <c r="S285"/>
  <c r="Y285"/>
  <c r="V285" s="1"/>
  <c r="T303" s="1"/>
  <c r="U303" s="1"/>
  <c r="S347"/>
  <c r="Y347"/>
  <c r="V347" s="1"/>
  <c r="T365" s="1"/>
  <c r="U365" s="1"/>
  <c r="S273"/>
  <c r="Y273"/>
  <c r="V273" s="1"/>
  <c r="T291" s="1"/>
  <c r="U291" s="1"/>
  <c r="S280"/>
  <c r="Y280"/>
  <c r="V280" s="1"/>
  <c r="S31" i="6"/>
  <c r="V31" s="1"/>
  <c r="Y31"/>
  <c r="S344"/>
  <c r="V344" s="1"/>
  <c r="Y344"/>
  <c r="S345"/>
  <c r="V345" s="1"/>
  <c r="Y345"/>
  <c r="S138"/>
  <c r="V138" s="1"/>
  <c r="Y138"/>
  <c r="S242"/>
  <c r="V242" s="1"/>
  <c r="Y242"/>
  <c r="S298" i="5"/>
  <c r="Y298"/>
  <c r="V298" s="1"/>
  <c r="S300"/>
  <c r="Y300"/>
  <c r="V300" s="1"/>
  <c r="S265" i="6"/>
  <c r="V265" s="1"/>
  <c r="AA239"/>
  <c r="S369"/>
  <c r="V369" s="1"/>
  <c r="AA343"/>
  <c r="S267"/>
  <c r="V267" s="1"/>
  <c r="AA241"/>
  <c r="S371"/>
  <c r="V371" s="1"/>
  <c r="AA345"/>
  <c r="S269"/>
  <c r="V269" s="1"/>
  <c r="AA243"/>
  <c r="I243" s="1"/>
  <c r="S373"/>
  <c r="V373" s="1"/>
  <c r="AA347"/>
  <c r="S271"/>
  <c r="V271" s="1"/>
  <c r="AA245"/>
  <c r="I245" s="1"/>
  <c r="S375"/>
  <c r="V375" s="1"/>
  <c r="AA349"/>
  <c r="S273"/>
  <c r="V273" s="1"/>
  <c r="AA247"/>
  <c r="I247" s="1"/>
  <c r="S377"/>
  <c r="V377" s="1"/>
  <c r="AA351"/>
  <c r="S275"/>
  <c r="V275" s="1"/>
  <c r="AA249"/>
  <c r="I249" s="1"/>
  <c r="S379"/>
  <c r="V379" s="1"/>
  <c r="AA353"/>
  <c r="S277"/>
  <c r="V277" s="1"/>
  <c r="AA251"/>
  <c r="I251" s="1"/>
  <c r="S381"/>
  <c r="V381" s="1"/>
  <c r="AA355"/>
  <c r="S279"/>
  <c r="V279" s="1"/>
  <c r="AA253"/>
  <c r="S383"/>
  <c r="V383" s="1"/>
  <c r="AA357"/>
  <c r="S732"/>
  <c r="AB654"/>
  <c r="S629"/>
  <c r="V629" s="1"/>
  <c r="AB551"/>
  <c r="S837"/>
  <c r="V837" s="1"/>
  <c r="AB759"/>
  <c r="S631"/>
  <c r="V631" s="1"/>
  <c r="AB553"/>
  <c r="S839"/>
  <c r="V839" s="1"/>
  <c r="AB761"/>
  <c r="S633"/>
  <c r="V633" s="1"/>
  <c r="AB555"/>
  <c r="S841"/>
  <c r="V841" s="1"/>
  <c r="AB763"/>
  <c r="S188"/>
  <c r="V188" s="1"/>
  <c r="Z136"/>
  <c r="S190"/>
  <c r="V190" s="1"/>
  <c r="Z138"/>
  <c r="S88"/>
  <c r="V88" s="1"/>
  <c r="Z36"/>
  <c r="S90"/>
  <c r="V90" s="1"/>
  <c r="Z38"/>
  <c r="S92"/>
  <c r="V92" s="1"/>
  <c r="Z40"/>
  <c r="S94"/>
  <c r="V94" s="1"/>
  <c r="Z42"/>
  <c r="S96"/>
  <c r="V96" s="1"/>
  <c r="Z44"/>
  <c r="S656"/>
  <c r="V656" s="1"/>
  <c r="Y656"/>
  <c r="S658"/>
  <c r="V658" s="1"/>
  <c r="Y658"/>
  <c r="S659"/>
  <c r="V659" s="1"/>
  <c r="Y659"/>
  <c r="S556"/>
  <c r="V556" s="1"/>
  <c r="Y556"/>
  <c r="I556" s="1"/>
  <c r="S660"/>
  <c r="V660" s="1"/>
  <c r="Y660"/>
  <c r="S767"/>
  <c r="V767" s="1"/>
  <c r="Y767"/>
  <c r="I767" s="1"/>
  <c r="S560"/>
  <c r="V560" s="1"/>
  <c r="Y560"/>
  <c r="S664"/>
  <c r="V664" s="1"/>
  <c r="Y664"/>
  <c r="S769"/>
  <c r="V769" s="1"/>
  <c r="Y769"/>
  <c r="S562"/>
  <c r="V562" s="1"/>
  <c r="Y562"/>
  <c r="I562" s="1"/>
  <c r="S666"/>
  <c r="V666" s="1"/>
  <c r="Y666"/>
  <c r="S771"/>
  <c r="V771" s="1"/>
  <c r="Y771"/>
  <c r="I771" s="1"/>
  <c r="S772"/>
  <c r="V772" s="1"/>
  <c r="Y772"/>
  <c r="S773"/>
  <c r="V773" s="1"/>
  <c r="Y773"/>
  <c r="I773" s="1"/>
  <c r="S426"/>
  <c r="V426" s="1"/>
  <c r="AB348"/>
  <c r="S219"/>
  <c r="V219" s="1"/>
  <c r="AB141"/>
  <c r="S430"/>
  <c r="V430" s="1"/>
  <c r="AB352"/>
  <c r="S224"/>
  <c r="V224" s="1"/>
  <c r="AB146"/>
  <c r="S434"/>
  <c r="V434" s="1"/>
  <c r="AB356"/>
  <c r="S576"/>
  <c r="AA550"/>
  <c r="S785"/>
  <c r="V785" s="1"/>
  <c r="AA759"/>
  <c r="S579"/>
  <c r="V579" s="1"/>
  <c r="AA553"/>
  <c r="S789"/>
  <c r="V789" s="1"/>
  <c r="AA763"/>
  <c r="S635"/>
  <c r="V635" s="1"/>
  <c r="AB557"/>
  <c r="S848"/>
  <c r="V848" s="1"/>
  <c r="AB770"/>
  <c r="S641"/>
  <c r="V641" s="1"/>
  <c r="AB563"/>
  <c r="S850"/>
  <c r="V850" s="1"/>
  <c r="AB772"/>
  <c r="S643"/>
  <c r="V643" s="1"/>
  <c r="AB565"/>
  <c r="S35"/>
  <c r="V35" s="1"/>
  <c r="Y35"/>
  <c r="S140"/>
  <c r="V140" s="1"/>
  <c r="Y140"/>
  <c r="S37"/>
  <c r="V37" s="1"/>
  <c r="Y37"/>
  <c r="S142"/>
  <c r="V142" s="1"/>
  <c r="Y142"/>
  <c r="S39"/>
  <c r="V39" s="1"/>
  <c r="Y39"/>
  <c r="S250"/>
  <c r="V250" s="1"/>
  <c r="Y250"/>
  <c r="S43"/>
  <c r="V43" s="1"/>
  <c r="Y43"/>
  <c r="S147"/>
  <c r="V147" s="1"/>
  <c r="Y147"/>
  <c r="S811"/>
  <c r="V811" s="1"/>
  <c r="Z759"/>
  <c r="S812"/>
  <c r="V812" s="1"/>
  <c r="Z760"/>
  <c r="S813"/>
  <c r="V813" s="1"/>
  <c r="Z761"/>
  <c r="S814"/>
  <c r="V814" s="1"/>
  <c r="Z762"/>
  <c r="S815"/>
  <c r="V815" s="1"/>
  <c r="Z763"/>
  <c r="S108"/>
  <c r="AB30"/>
  <c r="S316"/>
  <c r="AB238"/>
  <c r="S420"/>
  <c r="AB342"/>
  <c r="S421"/>
  <c r="V421" s="1"/>
  <c r="AB343"/>
  <c r="S110"/>
  <c r="V110" s="1"/>
  <c r="AB32"/>
  <c r="S423"/>
  <c r="V423" s="1"/>
  <c r="AB345"/>
  <c r="S112"/>
  <c r="V112" s="1"/>
  <c r="AB34"/>
  <c r="S425"/>
  <c r="V425" s="1"/>
  <c r="AB347"/>
  <c r="S192"/>
  <c r="V192" s="1"/>
  <c r="Z140"/>
  <c r="S402"/>
  <c r="V402" s="1"/>
  <c r="Z350"/>
  <c r="S196"/>
  <c r="V196" s="1"/>
  <c r="Z144"/>
  <c r="S406"/>
  <c r="V406" s="1"/>
  <c r="Z354"/>
  <c r="S200"/>
  <c r="V200" s="1"/>
  <c r="Z148"/>
  <c r="S760"/>
  <c r="V760" s="1"/>
  <c r="Y760"/>
  <c r="S553"/>
  <c r="V553" s="1"/>
  <c r="Y553"/>
  <c r="S554"/>
  <c r="V554" s="1"/>
  <c r="Y554"/>
  <c r="S763"/>
  <c r="V763" s="1"/>
  <c r="Y763"/>
  <c r="I763" s="1"/>
  <c r="S816"/>
  <c r="V816" s="1"/>
  <c r="Z764"/>
  <c r="S818"/>
  <c r="V818" s="1"/>
  <c r="Z766"/>
  <c r="S820"/>
  <c r="V820" s="1"/>
  <c r="Z768"/>
  <c r="S822"/>
  <c r="V822" s="1"/>
  <c r="Z770"/>
  <c r="S824"/>
  <c r="V824" s="1"/>
  <c r="Z772"/>
  <c r="S821"/>
  <c r="V821" s="1"/>
  <c r="Z769"/>
  <c r="S718"/>
  <c r="V718" s="1"/>
  <c r="Z666"/>
  <c r="S636"/>
  <c r="V636" s="1"/>
  <c r="AB558"/>
  <c r="S638"/>
  <c r="V638" s="1"/>
  <c r="AB560"/>
  <c r="S36"/>
  <c r="V36" s="1"/>
  <c r="Y36"/>
  <c r="S38"/>
  <c r="V38" s="1"/>
  <c r="Y38"/>
  <c r="S40"/>
  <c r="V40" s="1"/>
  <c r="Y40"/>
  <c r="S42"/>
  <c r="V42" s="1"/>
  <c r="Y42"/>
  <c r="S356"/>
  <c r="V356" s="1"/>
  <c r="Y356"/>
  <c r="I356" s="1"/>
  <c r="S357"/>
  <c r="V357" s="1"/>
  <c r="Y357"/>
  <c r="S604"/>
  <c r="V604" s="1"/>
  <c r="Z552"/>
  <c r="S606"/>
  <c r="V606" s="1"/>
  <c r="Z554"/>
  <c r="S759"/>
  <c r="V759" s="1"/>
  <c r="Y759"/>
  <c r="I759" s="1"/>
  <c r="S690"/>
  <c r="V690" s="1"/>
  <c r="AA664"/>
  <c r="S794"/>
  <c r="V794" s="1"/>
  <c r="AA768"/>
  <c r="S587"/>
  <c r="V587" s="1"/>
  <c r="AA561"/>
  <c r="I561" s="1"/>
  <c r="S692"/>
  <c r="V692" s="1"/>
  <c r="AA666"/>
  <c r="S796"/>
  <c r="V796" s="1"/>
  <c r="AA770"/>
  <c r="S589"/>
  <c r="V589" s="1"/>
  <c r="AA563"/>
  <c r="I563" s="1"/>
  <c r="S694"/>
  <c r="V694" s="1"/>
  <c r="AA668"/>
  <c r="S798"/>
  <c r="V798" s="1"/>
  <c r="AA772"/>
  <c r="S591"/>
  <c r="V591" s="1"/>
  <c r="AA565"/>
  <c r="I565" s="1"/>
  <c r="S114"/>
  <c r="V114" s="1"/>
  <c r="AB36"/>
  <c r="S322"/>
  <c r="V322" s="1"/>
  <c r="AB244"/>
  <c r="S116"/>
  <c r="V116" s="1"/>
  <c r="AB38"/>
  <c r="S324"/>
  <c r="V324" s="1"/>
  <c r="AB246"/>
  <c r="S118"/>
  <c r="V118" s="1"/>
  <c r="AB40"/>
  <c r="S326"/>
  <c r="V326" s="1"/>
  <c r="AB248"/>
  <c r="S120"/>
  <c r="V120" s="1"/>
  <c r="AB42"/>
  <c r="S328"/>
  <c r="V328" s="1"/>
  <c r="AB250"/>
  <c r="S122"/>
  <c r="V122" s="1"/>
  <c r="AB44"/>
  <c r="S330"/>
  <c r="V330" s="1"/>
  <c r="AB252"/>
  <c r="S474"/>
  <c r="V474" s="1"/>
  <c r="AA448"/>
  <c r="S682"/>
  <c r="V682" s="1"/>
  <c r="AA656"/>
  <c r="S504"/>
  <c r="V504" s="1"/>
  <c r="Z452"/>
  <c r="S817"/>
  <c r="V817" s="1"/>
  <c r="Z765"/>
  <c r="S714"/>
  <c r="V714" s="1"/>
  <c r="Z662"/>
  <c r="S720"/>
  <c r="V720" s="1"/>
  <c r="Z668"/>
  <c r="S537"/>
  <c r="V537" s="1"/>
  <c r="AB459"/>
  <c r="S538"/>
  <c r="V538" s="1"/>
  <c r="AB460"/>
  <c r="S349"/>
  <c r="V349" s="1"/>
  <c r="Y349"/>
  <c r="S351"/>
  <c r="V351" s="1"/>
  <c r="Y351"/>
  <c r="S45"/>
  <c r="V45" s="1"/>
  <c r="Y45"/>
  <c r="S710"/>
  <c r="V710" s="1"/>
  <c r="Z658"/>
  <c r="S109"/>
  <c r="V109" s="1"/>
  <c r="AB31"/>
  <c r="S319"/>
  <c r="V319" s="1"/>
  <c r="AB241"/>
  <c r="S113"/>
  <c r="V113" s="1"/>
  <c r="AB35"/>
  <c r="S583"/>
  <c r="V583" s="1"/>
  <c r="AA557"/>
  <c r="I557" s="1"/>
  <c r="S688"/>
  <c r="V688" s="1"/>
  <c r="AA662"/>
  <c r="S746"/>
  <c r="V746" s="1"/>
  <c r="AB668"/>
  <c r="S747"/>
  <c r="V747" s="1"/>
  <c r="AB669"/>
  <c r="S143"/>
  <c r="V143" s="1"/>
  <c r="Y143"/>
  <c r="S144"/>
  <c r="V144" s="1"/>
  <c r="Y144"/>
  <c r="S602"/>
  <c r="Z550"/>
  <c r="S711"/>
  <c r="V711" s="1"/>
  <c r="Z659"/>
  <c r="S212"/>
  <c r="AB134"/>
  <c r="S215"/>
  <c r="V215" s="1"/>
  <c r="AB137"/>
  <c r="S424"/>
  <c r="V424" s="1"/>
  <c r="AB346"/>
  <c r="S407"/>
  <c r="V407" s="1"/>
  <c r="Z355"/>
  <c r="S550"/>
  <c r="Y550"/>
  <c r="I550" s="1"/>
  <c r="S551"/>
  <c r="V551" s="1"/>
  <c r="Y551"/>
  <c r="S687"/>
  <c r="V687" s="1"/>
  <c r="AA661"/>
  <c r="S584"/>
  <c r="V584" s="1"/>
  <c r="AA558"/>
  <c r="S409"/>
  <c r="V409" s="1"/>
  <c r="Z357"/>
  <c r="S686"/>
  <c r="V686" s="1"/>
  <c r="AA660"/>
  <c r="T275" i="5"/>
  <c r="A57" i="2" s="1"/>
  <c r="T131" i="5"/>
  <c r="A52" i="2" s="1"/>
  <c r="M30" i="6"/>
  <c r="N30" s="1"/>
  <c r="P30" s="1"/>
  <c r="O30" s="1"/>
  <c r="K30" s="1"/>
  <c r="H30" s="1"/>
  <c r="M239"/>
  <c r="N239" s="1"/>
  <c r="P239" s="1"/>
  <c r="O239" s="1"/>
  <c r="K239" s="1"/>
  <c r="H239" s="1"/>
  <c r="M56"/>
  <c r="N56" s="1"/>
  <c r="P56" s="1"/>
  <c r="O56" s="1"/>
  <c r="K56" s="1"/>
  <c r="H56" s="1"/>
  <c r="M161"/>
  <c r="N161" s="1"/>
  <c r="P161" s="1"/>
  <c r="O161" s="1"/>
  <c r="K161" s="1"/>
  <c r="H161" s="1"/>
  <c r="M163"/>
  <c r="N163" s="1"/>
  <c r="P163" s="1"/>
  <c r="O163" s="1"/>
  <c r="K163" s="1"/>
  <c r="H163" s="1"/>
  <c r="M165"/>
  <c r="N165" s="1"/>
  <c r="P165" s="1"/>
  <c r="O165" s="1"/>
  <c r="K165" s="1"/>
  <c r="H165" s="1"/>
  <c r="M167"/>
  <c r="N167" s="1"/>
  <c r="P167" s="1"/>
  <c r="O167" s="1"/>
  <c r="K167" s="1"/>
  <c r="H167" s="1"/>
  <c r="M169"/>
  <c r="N169" s="1"/>
  <c r="P169" s="1"/>
  <c r="O169" s="1"/>
  <c r="K169" s="1"/>
  <c r="H169" s="1"/>
  <c r="M171"/>
  <c r="N171" s="1"/>
  <c r="P171" s="1"/>
  <c r="O171" s="1"/>
  <c r="K171" s="1"/>
  <c r="H171" s="1"/>
  <c r="M173"/>
  <c r="N173" s="1"/>
  <c r="P173" s="1"/>
  <c r="O173" s="1"/>
  <c r="K173" s="1"/>
  <c r="H173" s="1"/>
  <c r="M175"/>
  <c r="N175" s="1"/>
  <c r="P175" s="1"/>
  <c r="O175" s="1"/>
  <c r="K175" s="1"/>
  <c r="H175" s="1"/>
  <c r="M526"/>
  <c r="N526" s="1"/>
  <c r="P526" s="1"/>
  <c r="O526" s="1"/>
  <c r="K526" s="1"/>
  <c r="H526" s="1"/>
  <c r="M528"/>
  <c r="N528" s="1"/>
  <c r="P528" s="1"/>
  <c r="O528" s="1"/>
  <c r="K528" s="1"/>
  <c r="H528" s="1"/>
  <c r="M82"/>
  <c r="N82" s="1"/>
  <c r="P82" s="1"/>
  <c r="O82" s="1"/>
  <c r="K82" s="1"/>
  <c r="H82" s="1"/>
  <c r="M396"/>
  <c r="N396" s="1"/>
  <c r="P396" s="1"/>
  <c r="O396" s="1"/>
  <c r="K396" s="1"/>
  <c r="H396" s="1"/>
  <c r="M296"/>
  <c r="N296" s="1"/>
  <c r="P296" s="1"/>
  <c r="O296" s="1"/>
  <c r="K296" s="1"/>
  <c r="H296" s="1"/>
  <c r="M304"/>
  <c r="N304" s="1"/>
  <c r="P304" s="1"/>
  <c r="O304" s="1"/>
  <c r="K304" s="1"/>
  <c r="H304" s="1"/>
  <c r="M452"/>
  <c r="N452" s="1"/>
  <c r="P452" s="1"/>
  <c r="O452" s="1"/>
  <c r="K452" s="1"/>
  <c r="H452" s="1"/>
  <c r="M456"/>
  <c r="N456" s="1"/>
  <c r="P456" s="1"/>
  <c r="O456" s="1"/>
  <c r="K456" s="1"/>
  <c r="H456" s="1"/>
  <c r="M668"/>
  <c r="N668" s="1"/>
  <c r="P668" s="1"/>
  <c r="O668" s="1"/>
  <c r="K668" s="1"/>
  <c r="H668" s="1"/>
  <c r="M218"/>
  <c r="N218" s="1"/>
  <c r="P218" s="1"/>
  <c r="O218" s="1"/>
  <c r="K218" s="1"/>
  <c r="H218" s="1"/>
  <c r="M429"/>
  <c r="N429" s="1"/>
  <c r="P429" s="1"/>
  <c r="O429" s="1"/>
  <c r="K429" s="1"/>
  <c r="H429" s="1"/>
  <c r="M433"/>
  <c r="N433" s="1"/>
  <c r="P433" s="1"/>
  <c r="O433" s="1"/>
  <c r="K433" s="1"/>
  <c r="H433" s="1"/>
  <c r="M786"/>
  <c r="N786" s="1"/>
  <c r="P786" s="1"/>
  <c r="O786" s="1"/>
  <c r="K786" s="1"/>
  <c r="H786" s="1"/>
  <c r="M738"/>
  <c r="N738" s="1"/>
  <c r="P738" s="1"/>
  <c r="O738" s="1"/>
  <c r="K738" s="1"/>
  <c r="H738" s="1"/>
  <c r="T563" i="5"/>
  <c r="A67" i="2" s="1"/>
  <c r="T347" i="5"/>
  <c r="A60" i="2" s="1"/>
  <c r="T203" i="5"/>
  <c r="A55" i="2" s="1"/>
  <c r="T59" i="5"/>
  <c r="A50" i="2" s="1"/>
  <c r="M342" i="6"/>
  <c r="N342" s="1"/>
  <c r="P342" s="1"/>
  <c r="O342" s="1"/>
  <c r="K342" s="1"/>
  <c r="H342" s="1"/>
  <c r="M32"/>
  <c r="N32" s="1"/>
  <c r="P32" s="1"/>
  <c r="O32" s="1"/>
  <c r="K32" s="1"/>
  <c r="H32" s="1"/>
  <c r="M34"/>
  <c r="N34" s="1"/>
  <c r="P34" s="1"/>
  <c r="O34" s="1"/>
  <c r="K34" s="1"/>
  <c r="H34" s="1"/>
  <c r="M264"/>
  <c r="N264" s="1"/>
  <c r="P264" s="1"/>
  <c r="O264" s="1"/>
  <c r="K264" s="1"/>
  <c r="H264" s="1"/>
  <c r="M57"/>
  <c r="N57" s="1"/>
  <c r="P57" s="1"/>
  <c r="O57" s="1"/>
  <c r="K57" s="1"/>
  <c r="H57" s="1"/>
  <c r="M58"/>
  <c r="N58" s="1"/>
  <c r="P58" s="1"/>
  <c r="O58" s="1"/>
  <c r="K58" s="1"/>
  <c r="H58" s="1"/>
  <c r="M59"/>
  <c r="N59" s="1"/>
  <c r="P59" s="1"/>
  <c r="O59" s="1"/>
  <c r="K59" s="1"/>
  <c r="H59" s="1"/>
  <c r="M60"/>
  <c r="N60" s="1"/>
  <c r="P60" s="1"/>
  <c r="O60" s="1"/>
  <c r="K60" s="1"/>
  <c r="H60" s="1"/>
  <c r="M61"/>
  <c r="N61" s="1"/>
  <c r="P61" s="1"/>
  <c r="O61" s="1"/>
  <c r="K61" s="1"/>
  <c r="H61" s="1"/>
  <c r="M62"/>
  <c r="N62" s="1"/>
  <c r="P62" s="1"/>
  <c r="O62" s="1"/>
  <c r="K62" s="1"/>
  <c r="H62" s="1"/>
  <c r="M63"/>
  <c r="N63" s="1"/>
  <c r="P63" s="1"/>
  <c r="O63" s="1"/>
  <c r="K63" s="1"/>
  <c r="H63" s="1"/>
  <c r="M64"/>
  <c r="N64" s="1"/>
  <c r="P64" s="1"/>
  <c r="O64" s="1"/>
  <c r="K64" s="1"/>
  <c r="H64" s="1"/>
  <c r="M65"/>
  <c r="N65" s="1"/>
  <c r="P65" s="1"/>
  <c r="O65" s="1"/>
  <c r="K65" s="1"/>
  <c r="H65" s="1"/>
  <c r="M66"/>
  <c r="N66" s="1"/>
  <c r="P66" s="1"/>
  <c r="O66" s="1"/>
  <c r="K66" s="1"/>
  <c r="H66" s="1"/>
  <c r="M67"/>
  <c r="N67" s="1"/>
  <c r="P67" s="1"/>
  <c r="O67" s="1"/>
  <c r="K67" s="1"/>
  <c r="H67" s="1"/>
  <c r="M68"/>
  <c r="N68" s="1"/>
  <c r="P68" s="1"/>
  <c r="O68" s="1"/>
  <c r="K68" s="1"/>
  <c r="H68" s="1"/>
  <c r="M69"/>
  <c r="N69" s="1"/>
  <c r="P69" s="1"/>
  <c r="O69" s="1"/>
  <c r="K69" s="1"/>
  <c r="H69" s="1"/>
  <c r="M70"/>
  <c r="N70" s="1"/>
  <c r="P70" s="1"/>
  <c r="O70" s="1"/>
  <c r="K70" s="1"/>
  <c r="H70" s="1"/>
  <c r="M71"/>
  <c r="N71" s="1"/>
  <c r="P71" s="1"/>
  <c r="O71" s="1"/>
  <c r="K71" s="1"/>
  <c r="H71" s="1"/>
  <c r="M836"/>
  <c r="N836" s="1"/>
  <c r="P836" s="1"/>
  <c r="O836" s="1"/>
  <c r="K836" s="1"/>
  <c r="H836" s="1"/>
  <c r="M733"/>
  <c r="N733" s="1"/>
  <c r="P733" s="1"/>
  <c r="O733" s="1"/>
  <c r="K733" s="1"/>
  <c r="H733" s="1"/>
  <c r="M734"/>
  <c r="N734" s="1"/>
  <c r="P734" s="1"/>
  <c r="O734" s="1"/>
  <c r="K734" s="1"/>
  <c r="H734" s="1"/>
  <c r="M735"/>
  <c r="N735" s="1"/>
  <c r="P735" s="1"/>
  <c r="O735" s="1"/>
  <c r="K735" s="1"/>
  <c r="H735" s="1"/>
  <c r="M736"/>
  <c r="N736" s="1"/>
  <c r="P736" s="1"/>
  <c r="O736" s="1"/>
  <c r="K736" s="1"/>
  <c r="H736" s="1"/>
  <c r="M737"/>
  <c r="N737" s="1"/>
  <c r="P737" s="1"/>
  <c r="O737" s="1"/>
  <c r="K737" s="1"/>
  <c r="H737" s="1"/>
  <c r="M186"/>
  <c r="N186" s="1"/>
  <c r="P186" s="1"/>
  <c r="O186" s="1"/>
  <c r="K186" s="1"/>
  <c r="H186" s="1"/>
  <c r="M395"/>
  <c r="N395" s="1"/>
  <c r="P395" s="1"/>
  <c r="O395" s="1"/>
  <c r="K395" s="1"/>
  <c r="H395" s="1"/>
  <c r="M397"/>
  <c r="N397" s="1"/>
  <c r="P397" s="1"/>
  <c r="O397" s="1"/>
  <c r="K397" s="1"/>
  <c r="H397" s="1"/>
  <c r="M399"/>
  <c r="N399" s="1"/>
  <c r="P399" s="1"/>
  <c r="O399" s="1"/>
  <c r="K399" s="1"/>
  <c r="H399" s="1"/>
  <c r="M298"/>
  <c r="N298" s="1"/>
  <c r="P298" s="1"/>
  <c r="O298" s="1"/>
  <c r="K298" s="1"/>
  <c r="H298" s="1"/>
  <c r="M302"/>
  <c r="N302" s="1"/>
  <c r="P302" s="1"/>
  <c r="O302" s="1"/>
  <c r="K302" s="1"/>
  <c r="H302" s="1"/>
  <c r="M446"/>
  <c r="N446" s="1"/>
  <c r="P446" s="1"/>
  <c r="O446" s="1"/>
  <c r="K446" s="1"/>
  <c r="H446" s="1"/>
  <c r="M447"/>
  <c r="N447" s="1"/>
  <c r="P447" s="1"/>
  <c r="O447" s="1"/>
  <c r="K447" s="1"/>
  <c r="H447" s="1"/>
  <c r="M661"/>
  <c r="N661" s="1"/>
  <c r="P661" s="1"/>
  <c r="O661" s="1"/>
  <c r="K661" s="1"/>
  <c r="H661" s="1"/>
  <c r="M663"/>
  <c r="N663" s="1"/>
  <c r="P663" s="1"/>
  <c r="O663" s="1"/>
  <c r="K663" s="1"/>
  <c r="H663" s="1"/>
  <c r="M665"/>
  <c r="N665" s="1"/>
  <c r="P665" s="1"/>
  <c r="O665" s="1"/>
  <c r="K665" s="1"/>
  <c r="H665" s="1"/>
  <c r="M667"/>
  <c r="N667" s="1"/>
  <c r="P667" s="1"/>
  <c r="O667" s="1"/>
  <c r="K667" s="1"/>
  <c r="H667" s="1"/>
  <c r="M669"/>
  <c r="N669" s="1"/>
  <c r="P669" s="1"/>
  <c r="O669" s="1"/>
  <c r="K669" s="1"/>
  <c r="H669" s="1"/>
  <c r="M427"/>
  <c r="N427" s="1"/>
  <c r="P427" s="1"/>
  <c r="O427" s="1"/>
  <c r="K427" s="1"/>
  <c r="H427" s="1"/>
  <c r="M221"/>
  <c r="N221" s="1"/>
  <c r="P221" s="1"/>
  <c r="O221" s="1"/>
  <c r="K221" s="1"/>
  <c r="H221" s="1"/>
  <c r="M223"/>
  <c r="N223" s="1"/>
  <c r="P223" s="1"/>
  <c r="O223" s="1"/>
  <c r="K223" s="1"/>
  <c r="H223" s="1"/>
  <c r="M225"/>
  <c r="N225" s="1"/>
  <c r="P225" s="1"/>
  <c r="O225" s="1"/>
  <c r="K225" s="1"/>
  <c r="H225" s="1"/>
  <c r="M227"/>
  <c r="N227" s="1"/>
  <c r="P227" s="1"/>
  <c r="O227" s="1"/>
  <c r="K227" s="1"/>
  <c r="H227" s="1"/>
  <c r="M578"/>
  <c r="N578" s="1"/>
  <c r="P578" s="1"/>
  <c r="O578" s="1"/>
  <c r="K578" s="1"/>
  <c r="H578" s="1"/>
  <c r="M580"/>
  <c r="N580" s="1"/>
  <c r="P580" s="1"/>
  <c r="O580" s="1"/>
  <c r="K580" s="1"/>
  <c r="H580" s="1"/>
  <c r="M530"/>
  <c r="N530" s="1"/>
  <c r="P530" s="1"/>
  <c r="O530" s="1"/>
  <c r="K530" s="1"/>
  <c r="H530" s="1"/>
  <c r="M531"/>
  <c r="N531" s="1"/>
  <c r="P531" s="1"/>
  <c r="O531" s="1"/>
  <c r="K531" s="1"/>
  <c r="H531" s="1"/>
  <c r="T527" i="5"/>
  <c r="A66" i="2" s="1"/>
  <c r="U326" i="5"/>
  <c r="T208"/>
  <c r="U218"/>
  <c r="T23"/>
  <c r="A49" i="2" s="1"/>
  <c r="T95" i="5"/>
  <c r="A51" i="2" s="1"/>
  <c r="T460" i="5"/>
  <c r="U470"/>
  <c r="T167"/>
  <c r="A54" i="2" s="1"/>
  <c r="M706" i="6"/>
  <c r="N706" s="1"/>
  <c r="P706" s="1"/>
  <c r="O706" s="1"/>
  <c r="K706" s="1"/>
  <c r="H706" s="1"/>
  <c r="M482"/>
  <c r="N482" s="1"/>
  <c r="P482" s="1"/>
  <c r="O482" s="1"/>
  <c r="K482" s="1"/>
  <c r="H482" s="1"/>
  <c r="M484"/>
  <c r="N484" s="1"/>
  <c r="P484" s="1"/>
  <c r="O484" s="1"/>
  <c r="K484" s="1"/>
  <c r="H484" s="1"/>
  <c r="M486"/>
  <c r="N486" s="1"/>
  <c r="P486" s="1"/>
  <c r="O486" s="1"/>
  <c r="K486" s="1"/>
  <c r="H486" s="1"/>
  <c r="M472"/>
  <c r="N472" s="1"/>
  <c r="P472" s="1"/>
  <c r="O472" s="1"/>
  <c r="K472" s="1"/>
  <c r="H472" s="1"/>
  <c r="M473"/>
  <c r="N473" s="1"/>
  <c r="P473" s="1"/>
  <c r="O473" s="1"/>
  <c r="K473" s="1"/>
  <c r="H473" s="1"/>
  <c r="M475"/>
  <c r="N475" s="1"/>
  <c r="P475" s="1"/>
  <c r="O475" s="1"/>
  <c r="K475" s="1"/>
  <c r="H475" s="1"/>
  <c r="M477"/>
  <c r="N477" s="1"/>
  <c r="P477" s="1"/>
  <c r="O477" s="1"/>
  <c r="K477" s="1"/>
  <c r="H477" s="1"/>
  <c r="M505"/>
  <c r="N505" s="1"/>
  <c r="P505" s="1"/>
  <c r="O505" s="1"/>
  <c r="K505" s="1"/>
  <c r="H505" s="1"/>
  <c r="M507"/>
  <c r="N507" s="1"/>
  <c r="P507" s="1"/>
  <c r="O507" s="1"/>
  <c r="K507" s="1"/>
  <c r="H507" s="1"/>
  <c r="M509"/>
  <c r="N509" s="1"/>
  <c r="P509" s="1"/>
  <c r="O509" s="1"/>
  <c r="K509" s="1"/>
  <c r="H509" s="1"/>
  <c r="M511"/>
  <c r="N511" s="1"/>
  <c r="P511" s="1"/>
  <c r="O511" s="1"/>
  <c r="K511" s="1"/>
  <c r="H511" s="1"/>
  <c r="M513"/>
  <c r="N513" s="1"/>
  <c r="P513" s="1"/>
  <c r="O513" s="1"/>
  <c r="K513" s="1"/>
  <c r="H513" s="1"/>
  <c r="U434" i="5"/>
  <c r="U362"/>
  <c r="T136"/>
  <c r="U146"/>
  <c r="U506"/>
  <c r="T496"/>
  <c r="M810" i="6"/>
  <c r="N810" s="1"/>
  <c r="P810" s="1"/>
  <c r="O810" s="1"/>
  <c r="K810" s="1"/>
  <c r="H810" s="1"/>
  <c r="U578" i="5"/>
  <c r="T568"/>
  <c r="U74"/>
  <c r="T64" s="1"/>
  <c r="U290"/>
  <c r="M739" i="6"/>
  <c r="N739" s="1"/>
  <c r="P739" s="1"/>
  <c r="O739" s="1"/>
  <c r="K739" s="1"/>
  <c r="H739" s="1"/>
  <c r="M740"/>
  <c r="N740" s="1"/>
  <c r="P740" s="1"/>
  <c r="O740" s="1"/>
  <c r="K740" s="1"/>
  <c r="H740" s="1"/>
  <c r="M741"/>
  <c r="N741" s="1"/>
  <c r="P741" s="1"/>
  <c r="O741" s="1"/>
  <c r="K741" s="1"/>
  <c r="H741" s="1"/>
  <c r="M742"/>
  <c r="N742" s="1"/>
  <c r="P742" s="1"/>
  <c r="O742" s="1"/>
  <c r="K742" s="1"/>
  <c r="H742" s="1"/>
  <c r="M743"/>
  <c r="N743" s="1"/>
  <c r="P743" s="1"/>
  <c r="O743" s="1"/>
  <c r="K743" s="1"/>
  <c r="H743" s="1"/>
  <c r="Y350" i="5"/>
  <c r="V350" s="1"/>
  <c r="T368" s="1"/>
  <c r="U368" s="1"/>
  <c r="Y356"/>
  <c r="V356" s="1"/>
  <c r="T374" s="1"/>
  <c r="U374" s="1"/>
  <c r="Y382"/>
  <c r="V382" s="1"/>
  <c r="T400" s="1"/>
  <c r="U400" s="1"/>
  <c r="Y421"/>
  <c r="V421" s="1"/>
  <c r="T439" s="1"/>
  <c r="U439" s="1"/>
  <c r="T301"/>
  <c r="U301" s="1"/>
  <c r="T305"/>
  <c r="U305" s="1"/>
  <c r="Y380"/>
  <c r="V380" s="1"/>
  <c r="T398" s="1"/>
  <c r="T608" i="6"/>
  <c r="Z31"/>
  <c r="Z239"/>
  <c r="Z32"/>
  <c r="Z240"/>
  <c r="Z33"/>
  <c r="Z241"/>
  <c r="Z34"/>
  <c r="Z242"/>
  <c r="Z35"/>
  <c r="Z39"/>
  <c r="Z43"/>
  <c r="Y353" i="5"/>
  <c r="V353" s="1"/>
  <c r="T371" s="1"/>
  <c r="U371" s="1"/>
  <c r="Y357"/>
  <c r="V357" s="1"/>
  <c r="T375" s="1"/>
  <c r="U375" s="1"/>
  <c r="Y419"/>
  <c r="V419" s="1"/>
  <c r="T437" s="1"/>
  <c r="U437" s="1"/>
  <c r="T35" i="6"/>
  <c r="T139"/>
  <c r="Y368"/>
  <c r="T244"/>
  <c r="T816"/>
  <c r="T768" s="1"/>
  <c r="T191"/>
  <c r="T295"/>
  <c r="T247" s="1"/>
  <c r="Z135"/>
  <c r="Z137"/>
  <c r="Z139"/>
  <c r="T659"/>
  <c r="T663" s="1"/>
  <c r="Z447"/>
  <c r="Z448"/>
  <c r="Z449"/>
  <c r="Z450"/>
  <c r="T555"/>
  <c r="T559" s="1"/>
  <c r="Y784"/>
  <c r="Z454"/>
  <c r="Z551"/>
  <c r="Z553"/>
  <c r="Z141"/>
  <c r="T452"/>
  <c r="T456" s="1"/>
  <c r="Z458"/>
  <c r="T491" i="5"/>
  <c r="A65" i="2" s="1"/>
  <c r="M134" i="6"/>
  <c r="N134" s="1"/>
  <c r="P134" s="1"/>
  <c r="O134" s="1"/>
  <c r="K134" s="1"/>
  <c r="H134" s="1"/>
  <c r="M33"/>
  <c r="N33" s="1"/>
  <c r="P33" s="1"/>
  <c r="O33" s="1"/>
  <c r="K33" s="1"/>
  <c r="H33" s="1"/>
  <c r="M368"/>
  <c r="N368" s="1"/>
  <c r="P368" s="1"/>
  <c r="O368" s="1"/>
  <c r="K368" s="1"/>
  <c r="H368" s="1"/>
  <c r="M162"/>
  <c r="N162" s="1"/>
  <c r="P162" s="1"/>
  <c r="O162" s="1"/>
  <c r="K162" s="1"/>
  <c r="H162" s="1"/>
  <c r="M164"/>
  <c r="N164" s="1"/>
  <c r="P164" s="1"/>
  <c r="O164" s="1"/>
  <c r="K164" s="1"/>
  <c r="H164" s="1"/>
  <c r="M166"/>
  <c r="N166" s="1"/>
  <c r="P166" s="1"/>
  <c r="O166" s="1"/>
  <c r="K166" s="1"/>
  <c r="H166" s="1"/>
  <c r="M168"/>
  <c r="N168" s="1"/>
  <c r="P168" s="1"/>
  <c r="O168" s="1"/>
  <c r="K168" s="1"/>
  <c r="H168" s="1"/>
  <c r="M170"/>
  <c r="N170" s="1"/>
  <c r="P170" s="1"/>
  <c r="O170" s="1"/>
  <c r="K170" s="1"/>
  <c r="H170" s="1"/>
  <c r="M172"/>
  <c r="N172" s="1"/>
  <c r="P172" s="1"/>
  <c r="O172" s="1"/>
  <c r="K172" s="1"/>
  <c r="H172" s="1"/>
  <c r="M174"/>
  <c r="N174" s="1"/>
  <c r="P174" s="1"/>
  <c r="O174" s="1"/>
  <c r="K174" s="1"/>
  <c r="H174" s="1"/>
  <c r="M525"/>
  <c r="N525" s="1"/>
  <c r="P525" s="1"/>
  <c r="O525" s="1"/>
  <c r="K525" s="1"/>
  <c r="H525" s="1"/>
  <c r="M527"/>
  <c r="N527" s="1"/>
  <c r="P527" s="1"/>
  <c r="O527" s="1"/>
  <c r="K527" s="1"/>
  <c r="H527" s="1"/>
  <c r="M529"/>
  <c r="N529" s="1"/>
  <c r="P529" s="1"/>
  <c r="O529" s="1"/>
  <c r="K529" s="1"/>
  <c r="H529" s="1"/>
  <c r="M290"/>
  <c r="N290" s="1"/>
  <c r="P290" s="1"/>
  <c r="O290" s="1"/>
  <c r="K290" s="1"/>
  <c r="H290" s="1"/>
  <c r="M398"/>
  <c r="N398" s="1"/>
  <c r="P398" s="1"/>
  <c r="O398" s="1"/>
  <c r="K398" s="1"/>
  <c r="H398" s="1"/>
  <c r="M300"/>
  <c r="N300" s="1"/>
  <c r="P300" s="1"/>
  <c r="O300" s="1"/>
  <c r="K300" s="1"/>
  <c r="H300" s="1"/>
  <c r="M654"/>
  <c r="N654" s="1"/>
  <c r="P654" s="1"/>
  <c r="O654" s="1"/>
  <c r="K654" s="1"/>
  <c r="H654" s="1"/>
  <c r="M454"/>
  <c r="N454" s="1"/>
  <c r="P454" s="1"/>
  <c r="O454" s="1"/>
  <c r="K454" s="1"/>
  <c r="H454" s="1"/>
  <c r="M458"/>
  <c r="N458" s="1"/>
  <c r="P458" s="1"/>
  <c r="O458" s="1"/>
  <c r="K458" s="1"/>
  <c r="H458" s="1"/>
  <c r="M220"/>
  <c r="N220" s="1"/>
  <c r="P220" s="1"/>
  <c r="O220" s="1"/>
  <c r="K220" s="1"/>
  <c r="H220" s="1"/>
  <c r="M431"/>
  <c r="N431" s="1"/>
  <c r="P431" s="1"/>
  <c r="O431" s="1"/>
  <c r="K431" s="1"/>
  <c r="H431" s="1"/>
  <c r="M435"/>
  <c r="N435" s="1"/>
  <c r="P435" s="1"/>
  <c r="O435" s="1"/>
  <c r="K435" s="1"/>
  <c r="H435" s="1"/>
  <c r="M788"/>
  <c r="N788" s="1"/>
  <c r="P788" s="1"/>
  <c r="O788" s="1"/>
  <c r="K788" s="1"/>
  <c r="H788" s="1"/>
  <c r="T383" i="5"/>
  <c r="A61" i="2" s="1"/>
  <c r="T311" i="5"/>
  <c r="A59" i="2" s="1"/>
  <c r="M394" i="6"/>
  <c r="N394" s="1"/>
  <c r="P394" s="1"/>
  <c r="O394" s="1"/>
  <c r="K394" s="1"/>
  <c r="H394" s="1"/>
  <c r="T239" i="5"/>
  <c r="A56" i="2" s="1"/>
  <c r="T455" i="5"/>
  <c r="A64" i="2" s="1"/>
  <c r="M483" i="6"/>
  <c r="N483" s="1"/>
  <c r="P483" s="1"/>
  <c r="O483" s="1"/>
  <c r="K483" s="1"/>
  <c r="H483" s="1"/>
  <c r="M485"/>
  <c r="N485" s="1"/>
  <c r="P485" s="1"/>
  <c r="O485" s="1"/>
  <c r="K485" s="1"/>
  <c r="H485" s="1"/>
  <c r="M487"/>
  <c r="N487" s="1"/>
  <c r="P487" s="1"/>
  <c r="O487" s="1"/>
  <c r="K487" s="1"/>
  <c r="H487" s="1"/>
  <c r="M680"/>
  <c r="N680" s="1"/>
  <c r="P680" s="1"/>
  <c r="O680" s="1"/>
  <c r="K680" s="1"/>
  <c r="H680" s="1"/>
  <c r="M681"/>
  <c r="N681" s="1"/>
  <c r="P681" s="1"/>
  <c r="O681" s="1"/>
  <c r="K681" s="1"/>
  <c r="H681" s="1"/>
  <c r="M683"/>
  <c r="N683" s="1"/>
  <c r="P683" s="1"/>
  <c r="O683" s="1"/>
  <c r="K683" s="1"/>
  <c r="H683" s="1"/>
  <c r="M685"/>
  <c r="N685" s="1"/>
  <c r="P685" s="1"/>
  <c r="O685" s="1"/>
  <c r="K685" s="1"/>
  <c r="H685" s="1"/>
  <c r="M713"/>
  <c r="N713" s="1"/>
  <c r="P713" s="1"/>
  <c r="O713" s="1"/>
  <c r="K713" s="1"/>
  <c r="H713" s="1"/>
  <c r="M715"/>
  <c r="N715" s="1"/>
  <c r="P715" s="1"/>
  <c r="O715" s="1"/>
  <c r="K715" s="1"/>
  <c r="H715" s="1"/>
  <c r="M717"/>
  <c r="N717" s="1"/>
  <c r="P717" s="1"/>
  <c r="O717" s="1"/>
  <c r="K717" s="1"/>
  <c r="H717" s="1"/>
  <c r="M719"/>
  <c r="N719" s="1"/>
  <c r="P719" s="1"/>
  <c r="O719" s="1"/>
  <c r="K719" s="1"/>
  <c r="H719" s="1"/>
  <c r="M721"/>
  <c r="N721" s="1"/>
  <c r="P721" s="1"/>
  <c r="O721" s="1"/>
  <c r="K721" s="1"/>
  <c r="H721" s="1"/>
  <c r="M532"/>
  <c r="N532" s="1"/>
  <c r="P532" s="1"/>
  <c r="O532" s="1"/>
  <c r="K532" s="1"/>
  <c r="H532" s="1"/>
  <c r="M533"/>
  <c r="N533" s="1"/>
  <c r="P533" s="1"/>
  <c r="O533" s="1"/>
  <c r="K533" s="1"/>
  <c r="H533" s="1"/>
  <c r="M534"/>
  <c r="N534" s="1"/>
  <c r="P534" s="1"/>
  <c r="O534" s="1"/>
  <c r="K534" s="1"/>
  <c r="H534" s="1"/>
  <c r="M535"/>
  <c r="N535" s="1"/>
  <c r="P535" s="1"/>
  <c r="O535" s="1"/>
  <c r="K535" s="1"/>
  <c r="H535" s="1"/>
  <c r="U385" i="5"/>
  <c r="S343" i="6"/>
  <c r="V343" s="1"/>
  <c r="S295"/>
  <c r="V295" s="1"/>
  <c r="S655"/>
  <c r="V655" s="1"/>
  <c r="S557"/>
  <c r="V557" s="1"/>
  <c r="S559"/>
  <c r="V559" s="1"/>
  <c r="S561"/>
  <c r="V561" s="1"/>
  <c r="S563"/>
  <c r="V563" s="1"/>
  <c r="S565"/>
  <c r="V565" s="1"/>
  <c r="T560"/>
  <c r="Y425" i="5"/>
  <c r="V425" s="1"/>
  <c r="T443" s="1"/>
  <c r="U443" s="1"/>
  <c r="Y429"/>
  <c r="V429" s="1"/>
  <c r="T447" s="1"/>
  <c r="U447" s="1"/>
  <c r="Y278"/>
  <c r="V278" s="1"/>
  <c r="T296" s="1"/>
  <c r="U296" s="1"/>
  <c r="Y284"/>
  <c r="V284" s="1"/>
  <c r="T302" s="1"/>
  <c r="U302" s="1"/>
  <c r="Y310"/>
  <c r="V310" s="1"/>
  <c r="T328" s="1"/>
  <c r="U328" s="1"/>
  <c r="Y349"/>
  <c r="V349" s="1"/>
  <c r="T367" s="1"/>
  <c r="U367" s="1"/>
  <c r="Y160" i="6"/>
  <c r="T347"/>
  <c r="T351" s="1"/>
  <c r="S241"/>
  <c r="V241" s="1"/>
  <c r="T348"/>
  <c r="T87"/>
  <c r="Y680"/>
  <c r="S448"/>
  <c r="V448" s="1"/>
  <c r="S449"/>
  <c r="V449" s="1"/>
  <c r="S450"/>
  <c r="V450" s="1"/>
  <c r="S451"/>
  <c r="V451" s="1"/>
  <c r="S453"/>
  <c r="V453" s="1"/>
  <c r="S455"/>
  <c r="V455" s="1"/>
  <c r="S457"/>
  <c r="V457" s="1"/>
  <c r="S459"/>
  <c r="V459" s="1"/>
  <c r="S460"/>
  <c r="V460" s="1"/>
  <c r="S461"/>
  <c r="V461" s="1"/>
  <c r="U421" i="5"/>
  <c r="U349"/>
  <c r="U133"/>
  <c r="U493"/>
  <c r="S353" i="6"/>
  <c r="V353" s="1"/>
  <c r="S355"/>
  <c r="V355" s="1"/>
  <c r="S252"/>
  <c r="V252" s="1"/>
  <c r="T192"/>
  <c r="T144" s="1"/>
  <c r="Y576"/>
  <c r="T763"/>
  <c r="U422" i="5"/>
  <c r="U565"/>
  <c r="U61"/>
  <c r="U277"/>
  <c r="S243" i="6"/>
  <c r="V243" s="1"/>
  <c r="S245"/>
  <c r="V245" s="1"/>
  <c r="S247"/>
  <c r="V247" s="1"/>
  <c r="S249"/>
  <c r="V249" s="1"/>
  <c r="S251"/>
  <c r="V251" s="1"/>
  <c r="S149"/>
  <c r="V149" s="1"/>
  <c r="T815"/>
  <c r="S607"/>
  <c r="V607" s="1"/>
  <c r="T88"/>
  <c r="T40" s="1"/>
  <c r="T296"/>
  <c r="T400"/>
  <c r="S197"/>
  <c r="V197" s="1"/>
  <c r="S201"/>
  <c r="V201" s="1"/>
  <c r="T660"/>
  <c r="T664" s="1"/>
  <c r="S712"/>
  <c r="V712" s="1"/>
  <c r="Z664"/>
  <c r="S148"/>
  <c r="V148" s="1"/>
  <c r="S498"/>
  <c r="S758"/>
  <c r="U294" l="1"/>
  <c r="U293"/>
  <c r="I241"/>
  <c r="U85"/>
  <c r="I551"/>
  <c r="I553"/>
  <c r="I772"/>
  <c r="I666"/>
  <c r="I769"/>
  <c r="I560"/>
  <c r="I242"/>
  <c r="I354"/>
  <c r="I352"/>
  <c r="I555"/>
  <c r="I761"/>
  <c r="I253"/>
  <c r="I350"/>
  <c r="I348"/>
  <c r="I558"/>
  <c r="I765"/>
  <c r="I240"/>
  <c r="I564"/>
  <c r="I770"/>
  <c r="I768"/>
  <c r="I766"/>
  <c r="I764"/>
  <c r="U496" i="5"/>
  <c r="U492" s="1"/>
  <c r="B89" i="2" s="1"/>
  <c r="U460" i="5"/>
  <c r="U456" s="1"/>
  <c r="B88" i="2" s="1"/>
  <c r="U208" i="5"/>
  <c r="U64"/>
  <c r="U60" s="1"/>
  <c r="B74" i="2" s="1"/>
  <c r="S534" i="6"/>
  <c r="V534" s="1"/>
  <c r="AB456"/>
  <c r="S719"/>
  <c r="V719" s="1"/>
  <c r="Z667"/>
  <c r="S717"/>
  <c r="V717" s="1"/>
  <c r="Z665"/>
  <c r="S683"/>
  <c r="V683" s="1"/>
  <c r="AA657"/>
  <c r="S485"/>
  <c r="V485" s="1"/>
  <c r="AA459"/>
  <c r="S394"/>
  <c r="Z342"/>
  <c r="S290"/>
  <c r="Z238"/>
  <c r="S535"/>
  <c r="V535" s="1"/>
  <c r="AB457"/>
  <c r="S532"/>
  <c r="V532" s="1"/>
  <c r="AB454"/>
  <c r="S721"/>
  <c r="V721" s="1"/>
  <c r="Z669"/>
  <c r="S715"/>
  <c r="V715" s="1"/>
  <c r="Z663"/>
  <c r="S713"/>
  <c r="V713" s="1"/>
  <c r="Z661"/>
  <c r="S681"/>
  <c r="V681" s="1"/>
  <c r="AA655"/>
  <c r="S680"/>
  <c r="AA654"/>
  <c r="S483"/>
  <c r="V483" s="1"/>
  <c r="AA457"/>
  <c r="S788"/>
  <c r="V788" s="1"/>
  <c r="AA762"/>
  <c r="I762" s="1"/>
  <c r="S435"/>
  <c r="V435" s="1"/>
  <c r="AB357"/>
  <c r="I357" s="1"/>
  <c r="S458"/>
  <c r="V458" s="1"/>
  <c r="Y458"/>
  <c r="S454"/>
  <c r="V454" s="1"/>
  <c r="Y454"/>
  <c r="I454" s="1"/>
  <c r="S398"/>
  <c r="V398" s="1"/>
  <c r="Z346"/>
  <c r="I346" s="1"/>
  <c r="S529"/>
  <c r="V529" s="1"/>
  <c r="AB451"/>
  <c r="S527"/>
  <c r="V527" s="1"/>
  <c r="AB449"/>
  <c r="S172"/>
  <c r="V172" s="1"/>
  <c r="AA146"/>
  <c r="I146" s="1"/>
  <c r="S170"/>
  <c r="V170" s="1"/>
  <c r="AA144"/>
  <c r="I144" s="1"/>
  <c r="S164"/>
  <c r="V164" s="1"/>
  <c r="AA138"/>
  <c r="I138" s="1"/>
  <c r="S162"/>
  <c r="V162" s="1"/>
  <c r="AA136"/>
  <c r="I136" s="1"/>
  <c r="S743"/>
  <c r="V743" s="1"/>
  <c r="AB665"/>
  <c r="S742"/>
  <c r="V742" s="1"/>
  <c r="AB664"/>
  <c r="I664" s="1"/>
  <c r="S739"/>
  <c r="V739" s="1"/>
  <c r="AB661"/>
  <c r="S513"/>
  <c r="V513" s="1"/>
  <c r="Z461"/>
  <c r="S509"/>
  <c r="V509" s="1"/>
  <c r="Z457"/>
  <c r="S505"/>
  <c r="V505" s="1"/>
  <c r="Z453"/>
  <c r="S475"/>
  <c r="V475" s="1"/>
  <c r="AA449"/>
  <c r="I449" s="1"/>
  <c r="S473"/>
  <c r="V473" s="1"/>
  <c r="AA447"/>
  <c r="S484"/>
  <c r="V484" s="1"/>
  <c r="AA458"/>
  <c r="S482"/>
  <c r="V482" s="1"/>
  <c r="AA456"/>
  <c r="S531"/>
  <c r="V531" s="1"/>
  <c r="AB453"/>
  <c r="S578"/>
  <c r="V578" s="1"/>
  <c r="AA552"/>
  <c r="I552" s="1"/>
  <c r="S227"/>
  <c r="V227" s="1"/>
  <c r="AB149"/>
  <c r="S221"/>
  <c r="V221" s="1"/>
  <c r="AB143"/>
  <c r="S427"/>
  <c r="V427" s="1"/>
  <c r="AB349"/>
  <c r="I349" s="1"/>
  <c r="S665"/>
  <c r="V665" s="1"/>
  <c r="Y665"/>
  <c r="I665" s="1"/>
  <c r="S663"/>
  <c r="V663" s="1"/>
  <c r="Y663"/>
  <c r="S446"/>
  <c r="Y446"/>
  <c r="S302"/>
  <c r="V302" s="1"/>
  <c r="Z250"/>
  <c r="I250" s="1"/>
  <c r="S397"/>
  <c r="V397" s="1"/>
  <c r="Z345"/>
  <c r="I345" s="1"/>
  <c r="S395"/>
  <c r="V395" s="1"/>
  <c r="Z343"/>
  <c r="I343" s="1"/>
  <c r="S736"/>
  <c r="V736" s="1"/>
  <c r="AB658"/>
  <c r="I658" s="1"/>
  <c r="S735"/>
  <c r="V735" s="1"/>
  <c r="AB657"/>
  <c r="S836"/>
  <c r="AB758"/>
  <c r="S71"/>
  <c r="V71" s="1"/>
  <c r="AA45"/>
  <c r="I45" s="1"/>
  <c r="S68"/>
  <c r="V68" s="1"/>
  <c r="AA42"/>
  <c r="I42" s="1"/>
  <c r="S67"/>
  <c r="V67" s="1"/>
  <c r="AA41"/>
  <c r="I41" s="1"/>
  <c r="S64"/>
  <c r="V64" s="1"/>
  <c r="AA38"/>
  <c r="I38" s="1"/>
  <c r="S63"/>
  <c r="V63" s="1"/>
  <c r="AA37"/>
  <c r="I37" s="1"/>
  <c r="S60"/>
  <c r="V60" s="1"/>
  <c r="AA34"/>
  <c r="S59"/>
  <c r="V59" s="1"/>
  <c r="AA33"/>
  <c r="S264"/>
  <c r="AA238"/>
  <c r="I238" s="1"/>
  <c r="S34"/>
  <c r="V34" s="1"/>
  <c r="Y34"/>
  <c r="I34" s="1"/>
  <c r="S342"/>
  <c r="Y342"/>
  <c r="S433"/>
  <c r="V433" s="1"/>
  <c r="AB355"/>
  <c r="I355" s="1"/>
  <c r="S429"/>
  <c r="V429" s="1"/>
  <c r="AB351"/>
  <c r="I351" s="1"/>
  <c r="S456"/>
  <c r="V456" s="1"/>
  <c r="Y456"/>
  <c r="I456" s="1"/>
  <c r="S452"/>
  <c r="V452" s="1"/>
  <c r="Y452"/>
  <c r="S396"/>
  <c r="V396" s="1"/>
  <c r="Z344"/>
  <c r="I344" s="1"/>
  <c r="S528"/>
  <c r="V528" s="1"/>
  <c r="AB450"/>
  <c r="I450" s="1"/>
  <c r="S526"/>
  <c r="V526" s="1"/>
  <c r="AB448"/>
  <c r="I448" s="1"/>
  <c r="S171"/>
  <c r="V171" s="1"/>
  <c r="AA145"/>
  <c r="I145" s="1"/>
  <c r="S169"/>
  <c r="V169" s="1"/>
  <c r="AA143"/>
  <c r="I143" s="1"/>
  <c r="S163"/>
  <c r="V163" s="1"/>
  <c r="AA137"/>
  <c r="I137" s="1"/>
  <c r="S161"/>
  <c r="V161" s="1"/>
  <c r="AA135"/>
  <c r="I135" s="1"/>
  <c r="S239"/>
  <c r="V239" s="1"/>
  <c r="Y239"/>
  <c r="I239" s="1"/>
  <c r="S533"/>
  <c r="V533" s="1"/>
  <c r="AB455"/>
  <c r="S685"/>
  <c r="V685" s="1"/>
  <c r="AA659"/>
  <c r="S487"/>
  <c r="V487" s="1"/>
  <c r="AA461"/>
  <c r="I461" s="1"/>
  <c r="S431"/>
  <c r="V431" s="1"/>
  <c r="AB353"/>
  <c r="I353" s="1"/>
  <c r="S220"/>
  <c r="V220" s="1"/>
  <c r="AB142"/>
  <c r="S300"/>
  <c r="V300" s="1"/>
  <c r="Z248"/>
  <c r="I248" s="1"/>
  <c r="S525"/>
  <c r="V525" s="1"/>
  <c r="AB447"/>
  <c r="S174"/>
  <c r="V174" s="1"/>
  <c r="AA148"/>
  <c r="I148" s="1"/>
  <c r="S168"/>
  <c r="V168" s="1"/>
  <c r="AA142"/>
  <c r="I142" s="1"/>
  <c r="S166"/>
  <c r="V166" s="1"/>
  <c r="AA140"/>
  <c r="I140" s="1"/>
  <c r="S368"/>
  <c r="AA342"/>
  <c r="S33"/>
  <c r="V33" s="1"/>
  <c r="Y33"/>
  <c r="I33" s="1"/>
  <c r="S741"/>
  <c r="V741" s="1"/>
  <c r="AB663"/>
  <c r="S740"/>
  <c r="V740" s="1"/>
  <c r="AB662"/>
  <c r="I662" s="1"/>
  <c r="S810"/>
  <c r="Z758"/>
  <c r="I758" s="1"/>
  <c r="S511"/>
  <c r="V511" s="1"/>
  <c r="Z459"/>
  <c r="S507"/>
  <c r="V507" s="1"/>
  <c r="Z455"/>
  <c r="I455" s="1"/>
  <c r="S477"/>
  <c r="V477" s="1"/>
  <c r="AA451"/>
  <c r="I451" s="1"/>
  <c r="S472"/>
  <c r="AA446"/>
  <c r="S486"/>
  <c r="V486" s="1"/>
  <c r="AA460"/>
  <c r="I460" s="1"/>
  <c r="S706"/>
  <c r="Z654"/>
  <c r="S530"/>
  <c r="V530" s="1"/>
  <c r="AB452"/>
  <c r="S580"/>
  <c r="V580" s="1"/>
  <c r="AA554"/>
  <c r="I554" s="1"/>
  <c r="S225"/>
  <c r="V225" s="1"/>
  <c r="AB147"/>
  <c r="S223"/>
  <c r="V223" s="1"/>
  <c r="AB145"/>
  <c r="S669"/>
  <c r="V669" s="1"/>
  <c r="Y669"/>
  <c r="I669" s="1"/>
  <c r="S667"/>
  <c r="V667" s="1"/>
  <c r="Y667"/>
  <c r="I667" s="1"/>
  <c r="S661"/>
  <c r="V661" s="1"/>
  <c r="Y661"/>
  <c r="I661" s="1"/>
  <c r="S447"/>
  <c r="V447" s="1"/>
  <c r="Y447"/>
  <c r="I447" s="1"/>
  <c r="S298"/>
  <c r="V298" s="1"/>
  <c r="Z246"/>
  <c r="I246" s="1"/>
  <c r="S399"/>
  <c r="V399" s="1"/>
  <c r="Z347"/>
  <c r="I347" s="1"/>
  <c r="S737"/>
  <c r="V737" s="1"/>
  <c r="AB659"/>
  <c r="S734"/>
  <c r="V734" s="1"/>
  <c r="AB656"/>
  <c r="I656" s="1"/>
  <c r="S733"/>
  <c r="V733" s="1"/>
  <c r="AB655"/>
  <c r="S70"/>
  <c r="V70" s="1"/>
  <c r="AA44"/>
  <c r="I44" s="1"/>
  <c r="S69"/>
  <c r="V69" s="1"/>
  <c r="AA43"/>
  <c r="I43" s="1"/>
  <c r="S66"/>
  <c r="V66" s="1"/>
  <c r="AA40"/>
  <c r="I40" s="1"/>
  <c r="S65"/>
  <c r="V65" s="1"/>
  <c r="AA39"/>
  <c r="I39" s="1"/>
  <c r="S62"/>
  <c r="V62" s="1"/>
  <c r="AA36"/>
  <c r="I36" s="1"/>
  <c r="S61"/>
  <c r="V61" s="1"/>
  <c r="AA35"/>
  <c r="I35" s="1"/>
  <c r="S58"/>
  <c r="V58" s="1"/>
  <c r="AA32"/>
  <c r="S57"/>
  <c r="V57" s="1"/>
  <c r="AA31"/>
  <c r="I31" s="1"/>
  <c r="S32"/>
  <c r="V32" s="1"/>
  <c r="Y32"/>
  <c r="I32" s="1"/>
  <c r="S738"/>
  <c r="V738" s="1"/>
  <c r="AB660"/>
  <c r="I660" s="1"/>
  <c r="S786"/>
  <c r="V786" s="1"/>
  <c r="AA760"/>
  <c r="I760" s="1"/>
  <c r="S218"/>
  <c r="V218" s="1"/>
  <c r="AB140"/>
  <c r="S668"/>
  <c r="V668" s="1"/>
  <c r="Y668"/>
  <c r="I668" s="1"/>
  <c r="S304"/>
  <c r="V304" s="1"/>
  <c r="Z252"/>
  <c r="I252" s="1"/>
  <c r="S296"/>
  <c r="V296" s="1"/>
  <c r="Z244"/>
  <c r="I244" s="1"/>
  <c r="S82"/>
  <c r="Z30"/>
  <c r="S175"/>
  <c r="V175" s="1"/>
  <c r="AA149"/>
  <c r="I149" s="1"/>
  <c r="S173"/>
  <c r="V173" s="1"/>
  <c r="AA147"/>
  <c r="I147" s="1"/>
  <c r="S167"/>
  <c r="V167" s="1"/>
  <c r="AA141"/>
  <c r="I141" s="1"/>
  <c r="S165"/>
  <c r="V165" s="1"/>
  <c r="AA139"/>
  <c r="I139" s="1"/>
  <c r="S56"/>
  <c r="AA30"/>
  <c r="V498"/>
  <c r="U657"/>
  <c r="A48" i="3" s="1"/>
  <c r="T388" i="5"/>
  <c r="U398"/>
  <c r="V784" i="6"/>
  <c r="U608"/>
  <c r="V628"/>
  <c r="V524"/>
  <c r="V160"/>
  <c r="V238"/>
  <c r="T767"/>
  <c r="T352"/>
  <c r="T143"/>
  <c r="U449"/>
  <c r="A46" i="3" s="1"/>
  <c r="U568" i="5"/>
  <c r="U564" s="1"/>
  <c r="B91" i="2" s="1"/>
  <c r="U136" i="5"/>
  <c r="U132" s="1"/>
  <c r="B76" i="2" s="1"/>
  <c r="T298" i="5"/>
  <c r="U298" s="1"/>
  <c r="U278"/>
  <c r="U205"/>
  <c r="U204" s="1"/>
  <c r="B79" i="2" s="1"/>
  <c r="U169" i="5"/>
  <c r="U241"/>
  <c r="U97"/>
  <c r="U25"/>
  <c r="U763" i="6"/>
  <c r="V758"/>
  <c r="S654"/>
  <c r="Y654"/>
  <c r="S134"/>
  <c r="Y134"/>
  <c r="U553"/>
  <c r="A47" i="3" s="1"/>
  <c r="S186" i="6"/>
  <c r="Z134"/>
  <c r="S30"/>
  <c r="Y30"/>
  <c r="I30" s="1"/>
  <c r="U555"/>
  <c r="V550"/>
  <c r="V212"/>
  <c r="V602"/>
  <c r="U607"/>
  <c r="V420"/>
  <c r="U296"/>
  <c r="V316"/>
  <c r="U88"/>
  <c r="V108"/>
  <c r="V576"/>
  <c r="V732"/>
  <c r="T532" i="5"/>
  <c r="U542"/>
  <c r="U182"/>
  <c r="T172"/>
  <c r="U254"/>
  <c r="T244"/>
  <c r="U110"/>
  <c r="T100"/>
  <c r="U38"/>
  <c r="T28" s="1"/>
  <c r="T248" i="6"/>
  <c r="U241" s="1"/>
  <c r="A43" i="3" s="1"/>
  <c r="T39" i="6"/>
  <c r="T352" i="5"/>
  <c r="U352" s="1"/>
  <c r="U348" s="1"/>
  <c r="B84" i="2" s="1"/>
  <c r="T424" i="5"/>
  <c r="U424" s="1"/>
  <c r="U420" s="1"/>
  <c r="B86" i="2" s="1"/>
  <c r="T316" i="5"/>
  <c r="U316" s="1"/>
  <c r="U312" s="1"/>
  <c r="B83" i="2" s="1"/>
  <c r="T304" i="5"/>
  <c r="U304" s="1"/>
  <c r="T300"/>
  <c r="U300" s="1"/>
  <c r="I654" i="6" l="1"/>
  <c r="I659"/>
  <c r="I453"/>
  <c r="I657"/>
  <c r="T758"/>
  <c r="T238"/>
  <c r="T550"/>
  <c r="I134"/>
  <c r="T134" s="1"/>
  <c r="T30"/>
  <c r="I452"/>
  <c r="I342"/>
  <c r="T342" s="1"/>
  <c r="U345" s="1"/>
  <c r="A44" i="3" s="1"/>
  <c r="I446" i="6"/>
  <c r="I663"/>
  <c r="I458"/>
  <c r="I457"/>
  <c r="I655"/>
  <c r="I459"/>
  <c r="U28" i="5"/>
  <c r="U100"/>
  <c r="U244"/>
  <c r="U172"/>
  <c r="U388"/>
  <c r="U384" s="1"/>
  <c r="B85" i="2" s="1"/>
  <c r="U712" i="6"/>
  <c r="U556"/>
  <c r="U560" s="1"/>
  <c r="U400"/>
  <c r="U192"/>
  <c r="U243"/>
  <c r="U140"/>
  <c r="U144" s="1"/>
  <c r="U504"/>
  <c r="U764"/>
  <c r="V342"/>
  <c r="U347"/>
  <c r="U244"/>
  <c r="U248" s="1"/>
  <c r="V264"/>
  <c r="U816"/>
  <c r="V836"/>
  <c r="U451"/>
  <c r="V446"/>
  <c r="U660"/>
  <c r="U664" s="1"/>
  <c r="V680"/>
  <c r="V290"/>
  <c r="U295"/>
  <c r="U247" s="1"/>
  <c r="U252" s="1"/>
  <c r="C54" i="3" s="1"/>
  <c r="U399" i="6"/>
  <c r="V394"/>
  <c r="U33"/>
  <c r="A41" i="3" s="1"/>
  <c r="U35" i="6"/>
  <c r="V30"/>
  <c r="V186"/>
  <c r="U191"/>
  <c r="V134"/>
  <c r="U139"/>
  <c r="U143" s="1"/>
  <c r="U148" s="1"/>
  <c r="C53" i="3" s="1"/>
  <c r="V654" i="6"/>
  <c r="U659"/>
  <c r="U137"/>
  <c r="A42" i="3" s="1"/>
  <c r="U761" i="6"/>
  <c r="A49" i="3" s="1"/>
  <c r="U36" i="6"/>
  <c r="U40" s="1"/>
  <c r="V56"/>
  <c r="U87"/>
  <c r="V82"/>
  <c r="U711"/>
  <c r="V706"/>
  <c r="U452"/>
  <c r="V472"/>
  <c r="U815"/>
  <c r="U767" s="1"/>
  <c r="V810"/>
  <c r="U348"/>
  <c r="V368"/>
  <c r="U24" i="5"/>
  <c r="B73" i="2" s="1"/>
  <c r="U240" i="5"/>
  <c r="B80" i="2" s="1"/>
  <c r="U532" i="5"/>
  <c r="U528" s="1"/>
  <c r="B90" i="2" s="1"/>
  <c r="U559" i="6"/>
  <c r="U96" i="5"/>
  <c r="B75" i="2" s="1"/>
  <c r="U168" i="5"/>
  <c r="B78" i="2" s="1"/>
  <c r="T280" i="5"/>
  <c r="U280" s="1"/>
  <c r="U276" s="1"/>
  <c r="B81" i="2" s="1"/>
  <c r="U503" i="6"/>
  <c r="U352" l="1"/>
  <c r="T654"/>
  <c r="T446"/>
  <c r="U456"/>
  <c r="U768"/>
  <c r="U772" s="1"/>
  <c r="C60" i="3" s="1"/>
  <c r="U663" i="6"/>
  <c r="U668" s="1"/>
  <c r="C59" i="3" s="1"/>
  <c r="U455" i="6"/>
  <c r="U564"/>
  <c r="C58" i="3" s="1"/>
  <c r="U39" i="6"/>
  <c r="U44" s="1"/>
  <c r="C52" i="3" s="1"/>
  <c r="U351" i="6"/>
  <c r="U356" s="1"/>
  <c r="C55" i="3" s="1"/>
  <c r="U460" i="6" l="1"/>
  <c r="C57" i="3" s="1"/>
</calcChain>
</file>

<file path=xl/sharedStrings.xml><?xml version="1.0" encoding="utf-8"?>
<sst xmlns="http://schemas.openxmlformats.org/spreadsheetml/2006/main" count="1016" uniqueCount="378">
  <si>
    <t>IMPORTANT THINGS</t>
  </si>
  <si>
    <r>
      <t xml:space="preserve">Yellow cells you should fill out </t>
    </r>
    <r>
      <rPr>
        <b/>
        <sz val="10"/>
        <rFont val="Arial"/>
        <family val="2"/>
        <charset val="186"/>
      </rPr>
      <t>before</t>
    </r>
    <r>
      <rPr>
        <sz val="10"/>
        <rFont val="Arial"/>
        <family val="2"/>
        <charset val="186"/>
      </rPr>
      <t xml:space="preserve"> matches start</t>
    </r>
  </si>
  <si>
    <r>
      <t xml:space="preserve">Blue cells you should fill out </t>
    </r>
    <r>
      <rPr>
        <b/>
        <sz val="10"/>
        <rFont val="Arial"/>
        <family val="2"/>
        <charset val="186"/>
      </rPr>
      <t>after</t>
    </r>
    <r>
      <rPr>
        <sz val="10"/>
        <rFont val="Arial"/>
        <family val="2"/>
        <charset val="186"/>
      </rPr>
      <t xml:space="preserve"> matches end</t>
    </r>
  </si>
  <si>
    <r>
      <t xml:space="preserve">Grey cells you </t>
    </r>
    <r>
      <rPr>
        <b/>
        <sz val="10"/>
        <color indexed="10"/>
        <rFont val="Arial"/>
        <family val="2"/>
        <charset val="186"/>
      </rPr>
      <t>should not touch!</t>
    </r>
  </si>
  <si>
    <r>
      <t xml:space="preserve">Red cells should be edited only </t>
    </r>
    <r>
      <rPr>
        <b/>
        <sz val="10"/>
        <rFont val="Arial"/>
        <family val="2"/>
        <charset val="186"/>
      </rPr>
      <t>when necessary</t>
    </r>
  </si>
  <si>
    <t>Putting in players</t>
  </si>
  <si>
    <t>Copy TT player names in the left upper corner of the Singles or Doubles sheet</t>
  </si>
  <si>
    <t>Column 'Seeds/Comments' is for seed numbers, Q, LL or ALT</t>
  </si>
  <si>
    <t>Putting in the OOP</t>
  </si>
  <si>
    <t>Put in only the last names</t>
  </si>
  <si>
    <t>Don't forget to set the SR or PTS option and in which day of the round the match is taking place</t>
  </si>
  <si>
    <t>Two day rounds</t>
  </si>
  <si>
    <t>If you have a two day round you must set the correct values in the three yellow cells</t>
  </si>
  <si>
    <t>OOP for the second day should be posted below the first day's OOP</t>
  </si>
  <si>
    <t>If you have SR6-11 on the first day and SR1-5 on the second one you should edit the SR numbers in the red cells</t>
  </si>
  <si>
    <t>Putting in picks</t>
  </si>
  <si>
    <t>Picks order must be the same as in the OOP</t>
  </si>
  <si>
    <t>The following symbols are accepted in scores: ,:/-</t>
  </si>
  <si>
    <t>If a player is in both singles and doubles draws you should copy their picks only to the Singles sheet, and they will be automatically copied to Doubles</t>
  </si>
  <si>
    <t>Picks must contain only the last name and score. Any additional symbols like SR or country must be deleted before putting picks in here</t>
  </si>
  <si>
    <t>Calculating winners</t>
  </si>
  <si>
    <t>Correct winners, SR count and shootout is used for singles</t>
  </si>
  <si>
    <t>Correct winners and SR count is used for doubles</t>
  </si>
  <si>
    <t>Retirements</t>
  </si>
  <si>
    <t>If a player retires from a SR or PTS match you should remove this Type from the OOP</t>
  </si>
  <si>
    <t>If a player wins shootout based on this match you should manually correct it because retirements shouldn't count in TB</t>
  </si>
  <si>
    <t>Other notes</t>
  </si>
  <si>
    <t>Detailed instructions are below</t>
  </si>
  <si>
    <t>Please visit the TT forum on MTF if you have any questions</t>
  </si>
  <si>
    <t>What this spreadsheet does</t>
  </si>
  <si>
    <r>
      <t xml:space="preserve">This spreadsheet should be used when managing TT tournaments on MTF. It works for all tournaments where the draw size is 32 and </t>
    </r>
    <r>
      <rPr>
        <sz val="10"/>
        <color indexed="49"/>
        <rFont val="Times New Roman"/>
        <family val="1"/>
        <charset val="186"/>
      </rPr>
      <t>match format is “Best of 3”</t>
    </r>
    <r>
      <rPr>
        <sz val="10"/>
        <rFont val="Times New Roman"/>
        <family val="1"/>
        <charset val="186"/>
      </rPr>
      <t>.</t>
    </r>
  </si>
  <si>
    <t>If the draw size is bigger you can use one sheet for half the draw. The only real limit is 16 matches per round (for singles).</t>
  </si>
  <si>
    <t>This application calculates the picks differences automatically after you have put in all the picks.</t>
  </si>
  <si>
    <t>It also calculates TT winners after you put in ATP match results. Winners are calculated based on correct picks, SRs and shoot-out (for singles).</t>
  </si>
  <si>
    <t>PTS differences and winners must be calculated manually.</t>
  </si>
  <si>
    <t>How to work with it</t>
  </si>
  <si>
    <t>You can use this spreadsheet just for one round. For the next round you must take a new copy.</t>
  </si>
  <si>
    <t>Put in the players (and their country) in the order of the draw (not in rankings order) in sheet Singles, cells A2:A33. Put in their seed number, Q, ALT or LL in column B.</t>
  </si>
  <si>
    <t>Put in the correct numbers in G20, G21 and G22. These are very important for correct differences and winners.</t>
  </si>
  <si>
    <t>Put in the OOP in E3:H18. If this is the first day of a two day round and you have SR2, SR4 and SR6, put the matches in the first rows and then put the corresponsing SR numbers in column D.</t>
  </si>
  <si>
    <t>Put only players' last names in the OOP. If two players have the same last name you can add the first letter of their first name.</t>
  </si>
  <si>
    <t>Put in the picks in B94:Q128. There are two very important things regarding picks for this spreadsheet to work correctly.</t>
  </si>
  <si>
    <t>One - all the picks must be in the same order as the OOP.</t>
  </si>
  <si>
    <t>Two - The picks must contain only the player's last name (exactly as in the OOP) and the result. If a last name is misspelled you'll get a red notification in row 111, and the differences won't be displayed</t>
  </si>
  <si>
    <t>To find the misspelled name you should go to the Diffs sheet and scan column C, there will be a red text. Then fix the pick in the Singles sheet.</t>
  </si>
  <si>
    <t>In D25:D45 you have the players put in the draw that you can post directly to MTF. This is without any diffs.</t>
  </si>
  <si>
    <t>In A48:A68 you have the diffs to post at the start of the day's play.</t>
  </si>
  <si>
    <t>In A72:B92 you have the round winners. Column A is calculated only after you put in the score for all the matches in the current round.</t>
  </si>
  <si>
    <t>If the winner can't be determined by the application you'll see text “Tied; see PTS” in column A.</t>
  </si>
  <si>
    <t>In this case calculate the winner manually based on PTS or CB and put it in column A for the next round.</t>
  </si>
  <si>
    <r>
      <t xml:space="preserve">If you have any questions or comments about this spreadsheet please send them to </t>
    </r>
    <r>
      <rPr>
        <b/>
        <sz val="10"/>
        <rFont val="Times New Roman"/>
        <family val="1"/>
        <charset val="186"/>
      </rPr>
      <t>-Evita-</t>
    </r>
    <r>
      <rPr>
        <sz val="10"/>
        <rFont val="Times New Roman"/>
        <family val="1"/>
        <charset val="186"/>
      </rPr>
      <t xml:space="preserve"> on MTF.</t>
    </r>
  </si>
  <si>
    <t>Author: -Evita-</t>
  </si>
  <si>
    <t>Thank you to the initial testers: FiBeR, l_mac, keqtqiadv</t>
  </si>
  <si>
    <t>Version: 0.92</t>
  </si>
  <si>
    <r>
      <t>Date: December 19</t>
    </r>
    <r>
      <rPr>
        <vertAlign val="superscript"/>
        <sz val="10"/>
        <rFont val="Times New Roman"/>
        <family val="1"/>
        <charset val="186"/>
      </rPr>
      <t>th</t>
    </r>
    <r>
      <rPr>
        <sz val="10"/>
        <rFont val="Arial"/>
        <family val="2"/>
        <charset val="186"/>
      </rPr>
      <t>, 2010</t>
    </r>
  </si>
  <si>
    <t>Change log:</t>
  </si>
  <si>
    <t>v0.92</t>
  </si>
  <si>
    <t>- When a player has Bye in singles, it is automatically colored blue in Differences and no picks are displayed</t>
  </si>
  <si>
    <t>v0.91</t>
  </si>
  <si>
    <t>- Fixed a small bug in Doubles for the next round list (it didn't display some countries correctly in cells N33:O36)</t>
  </si>
  <si>
    <t>- Fixed a bug in Doubles when sometimes the same player's picks from the Singles sheet weren't automatically displayed</t>
  </si>
  <si>
    <t>v0.9</t>
  </si>
  <si>
    <t>- Modification: differences aren't displayed if there's a spelling mistake</t>
  </si>
  <si>
    <t>- Added number of SRs to Differences on Day 2</t>
  </si>
  <si>
    <t>- Added the option for Doubles to show only the relevant #SRs in the Results instead of all #SRs</t>
  </si>
  <si>
    <t>v0.87</t>
  </si>
  <si>
    <t>- Added an option for Singles to show only the relevant #SRs in the Results instead of all #SRs</t>
  </si>
  <si>
    <t>- Fixed a bug in Doubles (Differences were wrong if a pick was missing from a set of picks)</t>
  </si>
  <si>
    <t>v0.86</t>
  </si>
  <si>
    <t>- Small formatting changes</t>
  </si>
  <si>
    <t>- Fixed a problem with Doubles SR Diffs displaying</t>
  </si>
  <si>
    <t>v0.85</t>
  </si>
  <si>
    <t>- Fixed a bug in Doubles</t>
  </si>
  <si>
    <t>- Added the possibility not to show any SR diffs at all</t>
  </si>
  <si>
    <t>- Modified the differences section not to show diffs on matches that are already finished</t>
  </si>
  <si>
    <t>v0.83</t>
  </si>
  <si>
    <t>- Fixed a couple of bugs in doubles, thanks to Boarder35m for discovering them</t>
  </si>
  <si>
    <t>v0.8</t>
  </si>
  <si>
    <t>- Fixed a bug that sometimes PTS scores weren't converted correctly to SR</t>
  </si>
  <si>
    <t>- Added the correct picks counter to the Singles diffs</t>
  </si>
  <si>
    <t>- Added separate columns for countries</t>
  </si>
  <si>
    <t>v0.7</t>
  </si>
  <si>
    <t>First public release</t>
  </si>
  <si>
    <t>Players</t>
  </si>
  <si>
    <t>Seeds/Comments</t>
  </si>
  <si>
    <t>Country</t>
  </si>
  <si>
    <t>Order of Play</t>
  </si>
  <si>
    <t>Type</t>
  </si>
  <si>
    <t>Day</t>
  </si>
  <si>
    <t>Winner</t>
  </si>
  <si>
    <t>Score</t>
  </si>
  <si>
    <t>SR No.</t>
  </si>
  <si>
    <t>PLAYER A</t>
  </si>
  <si>
    <t>PLAYER B</t>
  </si>
  <si>
    <t>How many days will this round last?</t>
  </si>
  <si>
    <t>Which day of the round is it now?</t>
  </si>
  <si>
    <t>Number of matches in this round</t>
  </si>
  <si>
    <t>(put in 100 if you don't know yet)</t>
  </si>
  <si>
    <t>Display SR differences?</t>
  </si>
  <si>
    <t>Yes</t>
  </si>
  <si>
    <t>(this should be set to Yes unless there are so many matches that nobody cares about the SR diffs)</t>
  </si>
  <si>
    <t>The Draw</t>
  </si>
  <si>
    <t>[SIZE="2"][FONT="Times New Roman"]</t>
  </si>
  <si>
    <t>Use singles picks for doubles?</t>
  </si>
  <si>
    <t>(Note: This feature works only within OpenOffice Calc)</t>
  </si>
  <si>
    <t>Show all #SRs in Results?</t>
  </si>
  <si>
    <t>[/font][/size]</t>
  </si>
  <si>
    <t>Differences</t>
  </si>
  <si>
    <t>Results</t>
  </si>
  <si>
    <t>Round Results for MTF</t>
  </si>
  <si>
    <t>Players in the next round</t>
  </si>
  <si>
    <t>TEAM</t>
  </si>
  <si>
    <t>OOP</t>
  </si>
  <si>
    <t>Diffs:</t>
  </si>
  <si>
    <t>Note: if a player sent picks but forgot one pick, write in the empty cell: No pick</t>
  </si>
  <si>
    <t>Picks Count</t>
  </si>
  <si>
    <t>Singles</t>
  </si>
  <si>
    <t>Doubles</t>
  </si>
  <si>
    <t>Current Day</t>
  </si>
  <si>
    <t>Matches today</t>
  </si>
  <si>
    <t>DO NOT TOUCH ANYTHING HERE</t>
  </si>
  <si>
    <t>W</t>
  </si>
  <si>
    <t>SR</t>
  </si>
  <si>
    <t>TB</t>
  </si>
  <si>
    <t>Missing picks</t>
  </si>
  <si>
    <t>Tied; see PTS</t>
  </si>
  <si>
    <t>DOUBLES</t>
  </si>
  <si>
    <t>The winner:</t>
  </si>
  <si>
    <t>The result:</t>
  </si>
  <si>
    <t>No pick?</t>
  </si>
  <si>
    <t>Sauletekis</t>
  </si>
  <si>
    <t>POR</t>
  </si>
  <si>
    <t>gabrieltufao</t>
  </si>
  <si>
    <t>BRA</t>
  </si>
  <si>
    <t>Lazyking</t>
  </si>
  <si>
    <t>USA</t>
  </si>
  <si>
    <t>Daniel_amr</t>
  </si>
  <si>
    <t>PER</t>
  </si>
  <si>
    <t>geangr</t>
  </si>
  <si>
    <t>Ramsay</t>
  </si>
  <si>
    <t>Superior1</t>
  </si>
  <si>
    <t>CRO</t>
  </si>
  <si>
    <t>Matthew2408</t>
  </si>
  <si>
    <t>GBR</t>
  </si>
  <si>
    <t>pinarodrigues</t>
  </si>
  <si>
    <t>Milton</t>
  </si>
  <si>
    <t>rneves</t>
  </si>
  <si>
    <t>Walter Hitzschky</t>
  </si>
  <si>
    <t>Exco</t>
  </si>
  <si>
    <t>CHN</t>
  </si>
  <si>
    <t>theKSHE</t>
  </si>
  <si>
    <t>A_Skywalker</t>
  </si>
  <si>
    <t>geangr/A_Skywalker</t>
  </si>
  <si>
    <t>BUL</t>
  </si>
  <si>
    <t>BYE</t>
  </si>
  <si>
    <t>BYE/BYE</t>
  </si>
  <si>
    <t>igorpetrov</t>
  </si>
  <si>
    <t>gabrieltufao/igorpetrov</t>
  </si>
  <si>
    <t>XXX</t>
  </si>
  <si>
    <t>hahaha7</t>
  </si>
  <si>
    <t>hahaha7/Superior1</t>
  </si>
  <si>
    <t>BrazilTBfan</t>
  </si>
  <si>
    <t>RNW</t>
  </si>
  <si>
    <t>BrazilTBfan/RNW</t>
  </si>
  <si>
    <t>GRE</t>
  </si>
  <si>
    <t>SUI</t>
  </si>
  <si>
    <t>Thales de Mileto</t>
  </si>
  <si>
    <t>AeronW</t>
  </si>
  <si>
    <t>Thales de Mileto/AeronW</t>
  </si>
  <si>
    <t>Southend Aussies</t>
  </si>
  <si>
    <t>Lazyking/Southend Aussies</t>
  </si>
  <si>
    <t>AUS</t>
  </si>
  <si>
    <t>Sauletekis/theKSHE</t>
  </si>
  <si>
    <t>Travaglia</t>
  </si>
  <si>
    <t>Ghem</t>
  </si>
  <si>
    <t>PTS</t>
  </si>
  <si>
    <t>Machado</t>
  </si>
  <si>
    <t>Camilo</t>
  </si>
  <si>
    <t>Junqueira</t>
  </si>
  <si>
    <t>Tsuchiya</t>
  </si>
  <si>
    <t>Laranja</t>
  </si>
  <si>
    <t>Gaio</t>
  </si>
  <si>
    <t>PODLIPBIK-CASTILLO</t>
  </si>
  <si>
    <t>Yamacita</t>
  </si>
  <si>
    <t>Lindell</t>
  </si>
  <si>
    <t>Duran</t>
  </si>
  <si>
    <t>Sorgi</t>
  </si>
  <si>
    <t>Michon</t>
  </si>
  <si>
    <t>Rios-benitez</t>
  </si>
  <si>
    <t>gonzalez</t>
  </si>
  <si>
    <t>pereira</t>
  </si>
  <si>
    <t>oliveira</t>
  </si>
  <si>
    <t>matos</t>
  </si>
  <si>
    <t>collinari</t>
  </si>
  <si>
    <t>giner</t>
  </si>
  <si>
    <t>trinker</t>
  </si>
  <si>
    <t>turini</t>
  </si>
  <si>
    <t>galdon</t>
  </si>
  <si>
    <t>santos jr</t>
  </si>
  <si>
    <t>lobkov</t>
  </si>
  <si>
    <t>santos</t>
  </si>
  <si>
    <t>Fligia</t>
  </si>
  <si>
    <t>blumenberg</t>
  </si>
  <si>
    <t>lojda</t>
  </si>
  <si>
    <t>siggia</t>
  </si>
  <si>
    <t>GHEM 6/4 6/4</t>
  </si>
  <si>
    <t>MACHADO 6/4 6/4</t>
  </si>
  <si>
    <t>JUNQUEIRA 6/4 6/4</t>
  </si>
  <si>
    <t>LARANJA 6/4 6/4</t>
  </si>
  <si>
    <t>PODLIPBIK-CASTILLO 6/4 6/4</t>
  </si>
  <si>
    <t>LINDELL 6/4 6/4</t>
  </si>
  <si>
    <t>SORGI 6/4 6/4</t>
  </si>
  <si>
    <t>GONZALEZ 6/4 6/4</t>
  </si>
  <si>
    <t>PEREIRA 6/4 6/4</t>
  </si>
  <si>
    <t>MATOS 6/4 6/4</t>
  </si>
  <si>
    <t>GINER 6/4 6/4</t>
  </si>
  <si>
    <t>TURINI 6/4 6/4</t>
  </si>
  <si>
    <t>LOBKOV 6/4 6/4</t>
  </si>
  <si>
    <t>SANTOS 6/4 6/4</t>
  </si>
  <si>
    <t>LOJDA 6/4 6/4</t>
  </si>
  <si>
    <t>GHEM 64 63</t>
  </si>
  <si>
    <t>MACHADO 63 62</t>
  </si>
  <si>
    <t>JUNQUEIRA 63 62</t>
  </si>
  <si>
    <t>LARANJA 63 62</t>
  </si>
  <si>
    <t>PODLIPBIK-CASTILLO 63 62</t>
  </si>
  <si>
    <t>DURAN 63 62</t>
  </si>
  <si>
    <t>SORGI 63 62</t>
  </si>
  <si>
    <t>GONZALEZ 63 62</t>
  </si>
  <si>
    <t>PEREIRA 63 62</t>
  </si>
  <si>
    <t>COLLINARI 63 62</t>
  </si>
  <si>
    <t>GINER 63 62</t>
  </si>
  <si>
    <t>GALDON 63 62</t>
  </si>
  <si>
    <t>LOBKOV 63 62</t>
  </si>
  <si>
    <t>LOJDA 63 62</t>
  </si>
  <si>
    <t>SANTOS 63 62</t>
  </si>
  <si>
    <t>GHEM 6/4 6/3</t>
  </si>
  <si>
    <t>MACHADO 6/4 7/6</t>
  </si>
  <si>
    <t>JUNQUEIRA 6/4 7/6</t>
  </si>
  <si>
    <t>LARANJA 4/6 6/4 6/3</t>
  </si>
  <si>
    <t>PODLIPBIK-CASTILLO 6/1 6/3</t>
  </si>
  <si>
    <t>LINDELL 6/4 7/6</t>
  </si>
  <si>
    <t>MICHON 6/4 6/3</t>
  </si>
  <si>
    <t>GONZALEZ 6/4 6/3</t>
  </si>
  <si>
    <t>PEREIRA 6/4 6/2</t>
  </si>
  <si>
    <t>COLLINARI 6/4 6/3</t>
  </si>
  <si>
    <t>GINER 6/4 6/2</t>
  </si>
  <si>
    <t>GALDON 6/4 6/7 6/4</t>
  </si>
  <si>
    <t>LOBKOV 6/4 7/6</t>
  </si>
  <si>
    <t>SANTOS 6/4 6/0</t>
  </si>
  <si>
    <t>SANTOS 6/4 7/6</t>
  </si>
  <si>
    <t>LOJDA 6/4 6/1</t>
  </si>
  <si>
    <t>GHEM 64 46 64</t>
  </si>
  <si>
    <t>MACHADO 64 63</t>
  </si>
  <si>
    <t>JUNQUEIRA 76 62</t>
  </si>
  <si>
    <t>LARANJA 64 36 76</t>
  </si>
  <si>
    <t>PODLIPBIK-CASTILLO 63 63</t>
  </si>
  <si>
    <t>LINDELL 36 64 62</t>
  </si>
  <si>
    <t>MICHON 76 64</t>
  </si>
  <si>
    <t>GONZALEZ 63 64</t>
  </si>
  <si>
    <t>PEREIRA 60 63</t>
  </si>
  <si>
    <t>MATOS 64 46 64</t>
  </si>
  <si>
    <t>GINER 63 63</t>
  </si>
  <si>
    <t>TURINI 76 76</t>
  </si>
  <si>
    <t>LOBKOV 62 62</t>
  </si>
  <si>
    <t>FLIGIA 64 64</t>
  </si>
  <si>
    <t>SANTOS 63 63</t>
  </si>
  <si>
    <t>LOJDA 64 61</t>
  </si>
  <si>
    <t>GHEM 6-4 4-6 6-3</t>
  </si>
  <si>
    <t>MACHADO 6-2 6-0</t>
  </si>
  <si>
    <t>JUNQUEIRA 6-4 6-3</t>
  </si>
  <si>
    <t>GAIO 6-4 7-6</t>
  </si>
  <si>
    <t>PODLIPBIK-CASTILLO 6-0 6-0</t>
  </si>
  <si>
    <t>DURAN 6-4 4-6 6-2</t>
  </si>
  <si>
    <t>MICHON 6-4 6-3</t>
  </si>
  <si>
    <t>GONZALEZ 6-4 6-2</t>
  </si>
  <si>
    <t>PEREIRA 6-3 6-2</t>
  </si>
  <si>
    <t>COLLINARI 6-3 6-4</t>
  </si>
  <si>
    <t>GINER 6-4 6-2</t>
  </si>
  <si>
    <t>GALDON 7-6 6-4</t>
  </si>
  <si>
    <t>LOBKOV 6-2 6-1</t>
  </si>
  <si>
    <t>SANTOS 6-4 6-3</t>
  </si>
  <si>
    <t>SANTOS 6-4 6-2</t>
  </si>
  <si>
    <t>LOJDA 6-3 6-1</t>
  </si>
  <si>
    <t>TRAVAGLIA 75 46 64</t>
  </si>
  <si>
    <t>MACHADO 64 64</t>
  </si>
  <si>
    <t>JUNQUEIRA 62 62</t>
  </si>
  <si>
    <t>LARANJA 75 46 64</t>
  </si>
  <si>
    <t>PODLIPBIK-CASTILLO 64 64</t>
  </si>
  <si>
    <t>DURAN 75 46 64</t>
  </si>
  <si>
    <t>MICHON 64 63</t>
  </si>
  <si>
    <t>GONZALEZ 62 62</t>
  </si>
  <si>
    <t>PEREIRA 63 64</t>
  </si>
  <si>
    <t>MATOS 64 64</t>
  </si>
  <si>
    <t>GINER 64 64</t>
  </si>
  <si>
    <t>TURINI 64 46 64 </t>
  </si>
  <si>
    <t>LOBKOV 64 64 </t>
  </si>
  <si>
    <t>SANTOS 64 64</t>
  </si>
  <si>
    <t>LOJDA 64 64</t>
  </si>
  <si>
    <t>TRAVAGLIA 46 75 75</t>
  </si>
  <si>
    <t>MACHADO 60 61</t>
  </si>
  <si>
    <t>JUNQUEIRA 61 62</t>
  </si>
  <si>
    <t>GAIO 62 76</t>
  </si>
  <si>
    <t>PODLIPBIK-CASTILLO 61 61</t>
  </si>
  <si>
    <t>DURAN 63 63</t>
  </si>
  <si>
    <t>MICHON 63 60</t>
  </si>
  <si>
    <t>GONZALEZ 60 60</t>
  </si>
  <si>
    <t>PEREIRA 76 76</t>
  </si>
  <si>
    <t>COLLINARI 61 61</t>
  </si>
  <si>
    <t>GINER 76 64</t>
  </si>
  <si>
    <t>TURINI 57 76 76</t>
  </si>
  <si>
    <t>LOBKOV 60 60</t>
  </si>
  <si>
    <t>SANTOS 46 63 63</t>
  </si>
  <si>
    <t>LOJDA 60 61</t>
  </si>
  <si>
    <t>Machado </t>
  </si>
  <si>
    <t>junqueira</t>
  </si>
  <si>
    <t>gaio</t>
  </si>
  <si>
    <t>lindell</t>
  </si>
  <si>
    <t>michon</t>
  </si>
  <si>
    <t>TRAVAGLIA 6-4 4-6 6-3</t>
  </si>
  <si>
    <t>GHEM 6-4 6-3</t>
  </si>
  <si>
    <t>MACHADO 6-4 6-3</t>
  </si>
  <si>
    <t>GAIO 4-6 6-4 6-3</t>
  </si>
  <si>
    <t>PODLIPBIK-CASTILLO 6-4 6-3</t>
  </si>
  <si>
    <t>DURAN 6-4 6-3</t>
  </si>
  <si>
    <t>MICHON 6-4 3-6 6-4</t>
  </si>
  <si>
    <t>GONZALEZ 6-4 6-3</t>
  </si>
  <si>
    <t>PEREIRA 6-4 6-3</t>
  </si>
  <si>
    <t>MATOS 6-4 6-3</t>
  </si>
  <si>
    <t>GINER 6-4 6-3</t>
  </si>
  <si>
    <t>TURINI 4-6 6-4 6-3</t>
  </si>
  <si>
    <t>LOBKOV 6-4 6-3</t>
  </si>
  <si>
    <t>LOJDA 6-4 6-3</t>
  </si>
  <si>
    <t>GHEM 20</t>
  </si>
  <si>
    <t>MACHADO 20</t>
  </si>
  <si>
    <t>JUNQUEIRA 20</t>
  </si>
  <si>
    <t>LARANJA 20</t>
  </si>
  <si>
    <t>DURAN 21</t>
  </si>
  <si>
    <t>MICHON 21</t>
  </si>
  <si>
    <t>GONZALEZ 21</t>
  </si>
  <si>
    <t>PEREIRA 20</t>
  </si>
  <si>
    <t>COLLINARI 20</t>
  </si>
  <si>
    <t>GINER 20</t>
  </si>
  <si>
    <t>GALDON 21</t>
  </si>
  <si>
    <t>LOBKOV 20</t>
  </si>
  <si>
    <t>FLIGIA 21</t>
  </si>
  <si>
    <t>BLUMENBERG 21</t>
  </si>
  <si>
    <t>LOJDA 20</t>
  </si>
  <si>
    <t>PODLIPbIK-CASTILLO 20</t>
  </si>
  <si>
    <t>TRAVAGLIA 7-5 4-6 6-2</t>
  </si>
  <si>
    <t>MACHADO 6-3 6-1</t>
  </si>
  <si>
    <t>JUNQUEIRA 6-4 7-5</t>
  </si>
  <si>
    <t>GAIO 6-4 4-6 7-5</t>
  </si>
  <si>
    <t>PODLIPBIK-CASTILLO 6-2 6-4</t>
  </si>
  <si>
    <t>DURAN 7-5 6-4</t>
  </si>
  <si>
    <t>MICHON 4-6 6-4 7-5</t>
  </si>
  <si>
    <t>PEREIRA 6-4 6-1</t>
  </si>
  <si>
    <t>TURINI 4-6 6-4 6-4</t>
  </si>
  <si>
    <t>LOBKOV 6-3 6-2</t>
  </si>
  <si>
    <t>SANTOS 4-6 6-4 7-5</t>
  </si>
  <si>
    <t>SANTOS 7-5 6-4</t>
  </si>
  <si>
    <t>LOJDA 6-3 6-2</t>
  </si>
  <si>
    <t>Broseghini</t>
  </si>
  <si>
    <t>ROU</t>
  </si>
  <si>
    <t>ALT</t>
  </si>
  <si>
    <t>podlipBik-CASTILLO</t>
  </si>
  <si>
    <t>GHEM 64 64</t>
  </si>
  <si>
    <t>JUNQUEIRA 64 64</t>
  </si>
  <si>
    <t>LARANJA 64 64 </t>
  </si>
  <si>
    <t>LINDELL 64 64 </t>
  </si>
  <si>
    <t>MICHON 64 64 </t>
  </si>
  <si>
    <t>GONZALEZ 64 64</t>
  </si>
  <si>
    <t>PEREIRA 64 64 </t>
  </si>
  <si>
    <t>COLLINARI 64 64 </t>
  </si>
  <si>
    <t>TRINKER 64 64</t>
  </si>
  <si>
    <t>GALDON 64 64</t>
  </si>
  <si>
    <t>LOBKOV 64 64</t>
  </si>
  <si>
    <t>SANTOS 64 26 64</t>
  </si>
  <si>
    <t>BLUMENBERG 64 64 </t>
  </si>
</sst>
</file>

<file path=xl/styles.xml><?xml version="1.0" encoding="utf-8"?>
<styleSheet xmlns="http://schemas.openxmlformats.org/spreadsheetml/2006/main">
  <numFmts count="2">
    <numFmt numFmtId="164" formatCode="dd/mm/yy"/>
    <numFmt numFmtId="165" formatCode="00"/>
  </numFmts>
  <fonts count="44">
    <font>
      <sz val="10"/>
      <name val="Arial"/>
      <family val="2"/>
      <charset val="186"/>
    </font>
    <font>
      <b/>
      <sz val="12"/>
      <color indexed="10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indexed="10"/>
      <name val="Arial"/>
      <family val="2"/>
      <charset val="186"/>
    </font>
    <font>
      <b/>
      <sz val="12"/>
      <color indexed="28"/>
      <name val="Arial"/>
      <family val="2"/>
      <charset val="186"/>
    </font>
    <font>
      <sz val="10"/>
      <name val="Times New Roman"/>
      <family val="1"/>
      <charset val="186"/>
    </font>
    <font>
      <b/>
      <sz val="10"/>
      <color indexed="57"/>
      <name val="Times New Roman"/>
      <family val="1"/>
      <charset val="186"/>
    </font>
    <font>
      <sz val="10"/>
      <color indexed="49"/>
      <name val="Times New Roman"/>
      <family val="1"/>
      <charset val="186"/>
    </font>
    <font>
      <b/>
      <sz val="10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sz val="10"/>
      <name val="Tahoma"/>
      <family val="2"/>
      <charset val="186"/>
    </font>
    <font>
      <b/>
      <sz val="10"/>
      <color indexed="18"/>
      <name val="Tahoma"/>
      <family val="2"/>
      <charset val="186"/>
    </font>
    <font>
      <b/>
      <sz val="10"/>
      <name val="Tahoma"/>
      <family val="2"/>
      <charset val="186"/>
    </font>
    <font>
      <sz val="9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color indexed="11"/>
      <name val="Arial"/>
      <family val="2"/>
      <charset val="186"/>
    </font>
    <font>
      <sz val="10"/>
      <color indexed="17"/>
      <name val="Book Antiqua"/>
      <family val="1"/>
      <charset val="186"/>
    </font>
    <font>
      <sz val="10"/>
      <color indexed="53"/>
      <name val="Tahoma"/>
      <family val="2"/>
      <charset val="186"/>
    </font>
    <font>
      <sz val="10"/>
      <name val="Sylfaen"/>
      <family val="1"/>
      <charset val="186"/>
    </font>
    <font>
      <b/>
      <sz val="10"/>
      <name val="Book Antiqua"/>
      <family val="1"/>
      <charset val="186"/>
    </font>
    <font>
      <sz val="9"/>
      <color indexed="12"/>
      <name val="Georgia"/>
      <family val="1"/>
      <charset val="186"/>
    </font>
    <font>
      <sz val="10"/>
      <color indexed="17"/>
      <name val="Arial"/>
      <family val="2"/>
      <charset val="186"/>
    </font>
    <font>
      <sz val="9"/>
      <color indexed="9"/>
      <name val="Palatino Linotype"/>
      <family val="1"/>
      <charset val="186"/>
    </font>
    <font>
      <b/>
      <sz val="10"/>
      <color indexed="10"/>
      <name val="Times New Roman"/>
      <family val="1"/>
      <charset val="186"/>
    </font>
    <font>
      <b/>
      <sz val="10"/>
      <name val="Arial Narrow"/>
      <family val="2"/>
      <charset val="186"/>
    </font>
    <font>
      <b/>
      <sz val="10"/>
      <color indexed="14"/>
      <name val="Times New Roman"/>
      <family val="1"/>
      <charset val="186"/>
    </font>
    <font>
      <sz val="10"/>
      <color indexed="9"/>
      <name val="Times New Roman"/>
      <family val="1"/>
      <charset val="186"/>
    </font>
    <font>
      <sz val="10"/>
      <color indexed="9"/>
      <name val="Arial"/>
      <family val="2"/>
      <charset val="186"/>
    </font>
    <font>
      <sz val="10"/>
      <color indexed="19"/>
      <name val="Arial"/>
      <family val="2"/>
      <charset val="186"/>
    </font>
    <font>
      <b/>
      <sz val="10"/>
      <name val="Times New Roman"/>
      <family val="1"/>
      <charset val="1"/>
    </font>
    <font>
      <b/>
      <sz val="12"/>
      <color indexed="60"/>
      <name val="Arial"/>
      <family val="2"/>
      <charset val="186"/>
    </font>
    <font>
      <b/>
      <sz val="10"/>
      <color indexed="18"/>
      <name val="Arial"/>
      <family val="2"/>
      <charset val="186"/>
    </font>
    <font>
      <sz val="10"/>
      <name val="DejaVu Serif"/>
      <family val="1"/>
      <charset val="186"/>
    </font>
    <font>
      <b/>
      <sz val="10"/>
      <color indexed="8"/>
      <name val="DejaVu Serif"/>
      <family val="1"/>
      <charset val="186"/>
    </font>
    <font>
      <sz val="9"/>
      <name val="Book Antiqua"/>
      <family val="1"/>
      <charset val="186"/>
    </font>
    <font>
      <b/>
      <sz val="9"/>
      <name val="Book Antiqua"/>
      <family val="1"/>
      <charset val="186"/>
    </font>
    <font>
      <b/>
      <sz val="9"/>
      <color indexed="10"/>
      <name val="Book Antiqua"/>
      <family val="1"/>
      <charset val="186"/>
    </font>
    <font>
      <b/>
      <sz val="9"/>
      <color indexed="25"/>
      <name val="Book Antiqua"/>
      <family val="1"/>
      <charset val="186"/>
    </font>
    <font>
      <sz val="9"/>
      <color indexed="8"/>
      <name val="Book Antiqua"/>
      <family val="1"/>
      <charset val="186"/>
    </font>
    <font>
      <sz val="9"/>
      <color indexed="18"/>
      <name val="Book Antiqua"/>
      <family val="1"/>
      <charset val="186"/>
    </font>
    <font>
      <sz val="9"/>
      <color indexed="20"/>
      <name val="Book Antiqua"/>
      <family val="1"/>
      <charset val="186"/>
    </font>
    <font>
      <sz val="9"/>
      <color indexed="57"/>
      <name val="Book Antiqua"/>
      <family val="1"/>
      <charset val="186"/>
    </font>
    <font>
      <sz val="9"/>
      <color rgb="FF2E8B57"/>
      <name val="Verdana"/>
      <family val="2"/>
    </font>
    <font>
      <sz val="9"/>
      <color rgb="FF000000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42"/>
      </patternFill>
    </fill>
    <fill>
      <patternFill patternType="solid">
        <fgColor indexed="27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29"/>
        <bgColor indexed="45"/>
      </patternFill>
    </fill>
    <fill>
      <patternFill patternType="solid">
        <fgColor indexed="8"/>
        <bgColor indexed="58"/>
      </patternFill>
    </fill>
    <fill>
      <patternFill patternType="solid">
        <fgColor indexed="57"/>
        <bgColor indexed="17"/>
      </patternFill>
    </fill>
    <fill>
      <patternFill patternType="solid">
        <fgColor indexed="31"/>
        <bgColor indexed="22"/>
      </patternFill>
    </fill>
    <fill>
      <patternFill patternType="solid">
        <fgColor indexed="50"/>
        <bgColor indexed="55"/>
      </patternFill>
    </fill>
  </fills>
  <borders count="37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 style="medium">
        <color indexed="10"/>
      </top>
      <bottom/>
      <diagonal/>
    </border>
    <border>
      <left/>
      <right/>
      <top/>
      <bottom style="medium">
        <color indexed="10"/>
      </bottom>
      <diagonal/>
    </border>
    <border>
      <left style="medium">
        <color indexed="17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16"/>
      </left>
      <right/>
      <top style="medium">
        <color indexed="16"/>
      </top>
      <bottom/>
      <diagonal/>
    </border>
    <border>
      <left/>
      <right/>
      <top style="medium">
        <color indexed="16"/>
      </top>
      <bottom/>
      <diagonal/>
    </border>
    <border>
      <left/>
      <right style="medium">
        <color indexed="16"/>
      </right>
      <top style="medium">
        <color indexed="16"/>
      </top>
      <bottom/>
      <diagonal/>
    </border>
    <border>
      <left style="medium">
        <color indexed="18"/>
      </left>
      <right/>
      <top style="medium">
        <color indexed="18"/>
      </top>
      <bottom/>
      <diagonal/>
    </border>
    <border>
      <left/>
      <right/>
      <top style="medium">
        <color indexed="18"/>
      </top>
      <bottom/>
      <diagonal/>
    </border>
    <border>
      <left/>
      <right style="medium">
        <color indexed="18"/>
      </right>
      <top style="medium">
        <color indexed="18"/>
      </top>
      <bottom/>
      <diagonal/>
    </border>
    <border>
      <left style="medium">
        <color indexed="16"/>
      </left>
      <right/>
      <top/>
      <bottom/>
      <diagonal/>
    </border>
    <border>
      <left/>
      <right style="medium">
        <color indexed="16"/>
      </right>
      <top/>
      <bottom/>
      <diagonal/>
    </border>
    <border>
      <left style="medium">
        <color indexed="18"/>
      </left>
      <right/>
      <top/>
      <bottom/>
      <diagonal/>
    </border>
    <border>
      <left/>
      <right style="medium">
        <color indexed="18"/>
      </right>
      <top/>
      <bottom/>
      <diagonal/>
    </border>
    <border>
      <left style="medium">
        <color indexed="16"/>
      </left>
      <right/>
      <top/>
      <bottom style="medium">
        <color indexed="16"/>
      </bottom>
      <diagonal/>
    </border>
    <border>
      <left/>
      <right/>
      <top/>
      <bottom style="medium">
        <color indexed="16"/>
      </bottom>
      <diagonal/>
    </border>
    <border>
      <left/>
      <right style="medium">
        <color indexed="16"/>
      </right>
      <top/>
      <bottom style="medium">
        <color indexed="16"/>
      </bottom>
      <diagonal/>
    </border>
    <border>
      <left style="medium">
        <color indexed="18"/>
      </left>
      <right/>
      <top/>
      <bottom style="medium">
        <color indexed="18"/>
      </bottom>
      <diagonal/>
    </border>
    <border>
      <left/>
      <right/>
      <top/>
      <bottom style="medium">
        <color indexed="18"/>
      </bottom>
      <diagonal/>
    </border>
    <border>
      <left/>
      <right style="medium">
        <color indexed="18"/>
      </right>
      <top/>
      <bottom style="medium">
        <color indexed="18"/>
      </bottom>
      <diagonal/>
    </border>
    <border>
      <left style="medium">
        <color indexed="59"/>
      </left>
      <right/>
      <top style="medium">
        <color indexed="59"/>
      </top>
      <bottom/>
      <diagonal/>
    </border>
    <border>
      <left/>
      <right/>
      <top style="medium">
        <color indexed="59"/>
      </top>
      <bottom/>
      <diagonal/>
    </border>
    <border>
      <left/>
      <right style="medium">
        <color indexed="59"/>
      </right>
      <top style="medium">
        <color indexed="59"/>
      </top>
      <bottom/>
      <diagonal/>
    </border>
    <border>
      <left style="medium">
        <color indexed="59"/>
      </left>
      <right/>
      <top/>
      <bottom/>
      <diagonal/>
    </border>
    <border>
      <left/>
      <right style="medium">
        <color indexed="59"/>
      </right>
      <top/>
      <bottom/>
      <diagonal/>
    </border>
    <border>
      <left style="medium">
        <color indexed="59"/>
      </left>
      <right/>
      <top/>
      <bottom style="medium">
        <color indexed="59"/>
      </bottom>
      <diagonal/>
    </border>
    <border>
      <left/>
      <right/>
      <top/>
      <bottom style="medium">
        <color indexed="59"/>
      </bottom>
      <diagonal/>
    </border>
    <border>
      <left/>
      <right style="medium">
        <color indexed="59"/>
      </right>
      <top/>
      <bottom style="medium">
        <color indexed="59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Font="1"/>
    <xf numFmtId="0" fontId="1" fillId="0" borderId="0" xfId="0" applyFont="1"/>
    <xf numFmtId="0" fontId="0" fillId="2" borderId="0" xfId="0" applyFont="1" applyFill="1"/>
    <xf numFmtId="0" fontId="0" fillId="3" borderId="0" xfId="0" applyFont="1" applyFill="1"/>
    <xf numFmtId="0" fontId="0" fillId="4" borderId="0" xfId="0" applyFont="1" applyFill="1"/>
    <xf numFmtId="0" fontId="0" fillId="5" borderId="0" xfId="0" applyFont="1" applyFill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2" fillId="0" borderId="0" xfId="0" applyFont="1"/>
    <xf numFmtId="0" fontId="13" fillId="2" borderId="1" xfId="0" applyFont="1" applyFill="1" applyBorder="1"/>
    <xf numFmtId="0" fontId="13" fillId="2" borderId="2" xfId="0" applyFont="1" applyFill="1" applyBorder="1"/>
    <xf numFmtId="0" fontId="0" fillId="2" borderId="3" xfId="0" applyFont="1" applyFill="1" applyBorder="1"/>
    <xf numFmtId="0" fontId="13" fillId="2" borderId="4" xfId="0" applyFont="1" applyFill="1" applyBorder="1"/>
    <xf numFmtId="0" fontId="13" fillId="2" borderId="0" xfId="0" applyFont="1" applyFill="1" applyBorder="1"/>
    <xf numFmtId="0" fontId="0" fillId="2" borderId="5" xfId="0" applyFont="1" applyFill="1" applyBorder="1"/>
    <xf numFmtId="0" fontId="5" fillId="5" borderId="0" xfId="0" applyFont="1" applyFill="1"/>
    <xf numFmtId="0" fontId="5" fillId="2" borderId="0" xfId="0" applyFont="1" applyFill="1"/>
    <xf numFmtId="0" fontId="5" fillId="3" borderId="0" xfId="0" applyFont="1" applyFill="1"/>
    <xf numFmtId="0" fontId="5" fillId="4" borderId="0" xfId="0" applyFont="1" applyFill="1"/>
    <xf numFmtId="49" fontId="5" fillId="3" borderId="0" xfId="0" applyNumberFormat="1" applyFont="1" applyFill="1"/>
    <xf numFmtId="0" fontId="3" fillId="4" borderId="0" xfId="0" applyFont="1" applyFill="1"/>
    <xf numFmtId="0" fontId="8" fillId="0" borderId="0" xfId="0" applyFont="1"/>
    <xf numFmtId="0" fontId="0" fillId="2" borderId="6" xfId="0" applyFont="1" applyFill="1" applyBorder="1"/>
    <xf numFmtId="0" fontId="14" fillId="0" borderId="0" xfId="0" applyFont="1"/>
    <xf numFmtId="0" fontId="0" fillId="2" borderId="7" xfId="0" applyFont="1" applyFill="1" applyBorder="1"/>
    <xf numFmtId="0" fontId="15" fillId="6" borderId="0" xfId="0" applyFont="1" applyFill="1"/>
    <xf numFmtId="0" fontId="16" fillId="0" borderId="8" xfId="0" applyFont="1" applyBorder="1"/>
    <xf numFmtId="0" fontId="13" fillId="2" borderId="9" xfId="0" applyFont="1" applyFill="1" applyBorder="1"/>
    <xf numFmtId="0" fontId="13" fillId="2" borderId="10" xfId="0" applyFont="1" applyFill="1" applyBorder="1"/>
    <xf numFmtId="0" fontId="0" fillId="2" borderId="11" xfId="0" applyFont="1" applyFill="1" applyBorder="1"/>
    <xf numFmtId="0" fontId="0" fillId="2" borderId="12" xfId="0" applyFont="1" applyFill="1" applyBorder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0" fillId="6" borderId="0" xfId="0" applyFont="1" applyFill="1"/>
    <xf numFmtId="0" fontId="20" fillId="0" borderId="0" xfId="0" applyFont="1"/>
    <xf numFmtId="0" fontId="21" fillId="0" borderId="0" xfId="0" applyFont="1"/>
    <xf numFmtId="0" fontId="22" fillId="7" borderId="0" xfId="0" applyFont="1" applyFill="1"/>
    <xf numFmtId="0" fontId="23" fillId="0" borderId="0" xfId="0" applyFont="1"/>
    <xf numFmtId="0" fontId="24" fillId="8" borderId="0" xfId="0" applyFont="1" applyFill="1"/>
    <xf numFmtId="0" fontId="13" fillId="2" borderId="0" xfId="0" applyFont="1" applyFill="1"/>
    <xf numFmtId="0" fontId="13" fillId="2" borderId="13" xfId="0" applyFont="1" applyFill="1" applyBorder="1"/>
    <xf numFmtId="0" fontId="0" fillId="2" borderId="14" xfId="0" applyFont="1" applyFill="1" applyBorder="1"/>
    <xf numFmtId="0" fontId="0" fillId="4" borderId="14" xfId="0" applyFont="1" applyFill="1" applyBorder="1"/>
    <xf numFmtId="0" fontId="0" fillId="2" borderId="15" xfId="0" applyFont="1" applyFill="1" applyBorder="1"/>
    <xf numFmtId="0" fontId="5" fillId="4" borderId="16" xfId="0" applyFont="1" applyFill="1" applyBorder="1"/>
    <xf numFmtId="0" fontId="5" fillId="3" borderId="16" xfId="0" applyFont="1" applyFill="1" applyBorder="1"/>
    <xf numFmtId="0" fontId="5" fillId="4" borderId="17" xfId="0" applyFont="1" applyFill="1" applyBorder="1"/>
    <xf numFmtId="49" fontId="5" fillId="3" borderId="18" xfId="0" applyNumberFormat="1" applyFont="1" applyFill="1" applyBorder="1"/>
    <xf numFmtId="0" fontId="0" fillId="2" borderId="19" xfId="0" applyFont="1" applyFill="1" applyBorder="1"/>
    <xf numFmtId="0" fontId="0" fillId="2" borderId="0" xfId="0" applyFont="1" applyFill="1" applyBorder="1"/>
    <xf numFmtId="0" fontId="0" fillId="2" borderId="20" xfId="0" applyFont="1" applyFill="1" applyBorder="1"/>
    <xf numFmtId="0" fontId="5" fillId="4" borderId="21" xfId="0" applyFont="1" applyFill="1" applyBorder="1"/>
    <xf numFmtId="0" fontId="5" fillId="2" borderId="22" xfId="0" applyFont="1" applyFill="1" applyBorder="1"/>
    <xf numFmtId="0" fontId="5" fillId="3" borderId="21" xfId="0" applyFont="1" applyFill="1" applyBorder="1"/>
    <xf numFmtId="49" fontId="5" fillId="3" borderId="22" xfId="0" applyNumberFormat="1" applyFont="1" applyFill="1" applyBorder="1"/>
    <xf numFmtId="164" fontId="0" fillId="2" borderId="19" xfId="0" applyNumberFormat="1" applyFont="1" applyFill="1" applyBorder="1"/>
    <xf numFmtId="0" fontId="0" fillId="2" borderId="23" xfId="0" applyFont="1" applyFill="1" applyBorder="1"/>
    <xf numFmtId="0" fontId="0" fillId="2" borderId="24" xfId="0" applyFont="1" applyFill="1" applyBorder="1"/>
    <xf numFmtId="0" fontId="0" fillId="4" borderId="24" xfId="0" applyFont="1" applyFill="1" applyBorder="1"/>
    <xf numFmtId="0" fontId="0" fillId="2" borderId="25" xfId="0" applyFont="1" applyFill="1" applyBorder="1"/>
    <xf numFmtId="0" fontId="5" fillId="4" borderId="26" xfId="0" applyFont="1" applyFill="1" applyBorder="1"/>
    <xf numFmtId="0" fontId="5" fillId="2" borderId="27" xfId="0" applyFont="1" applyFill="1" applyBorder="1"/>
    <xf numFmtId="0" fontId="5" fillId="2" borderId="28" xfId="0" applyFont="1" applyFill="1" applyBorder="1"/>
    <xf numFmtId="0" fontId="5" fillId="3" borderId="26" xfId="0" applyFont="1" applyFill="1" applyBorder="1"/>
    <xf numFmtId="0" fontId="5" fillId="4" borderId="27" xfId="0" applyFont="1" applyFill="1" applyBorder="1"/>
    <xf numFmtId="49" fontId="5" fillId="3" borderId="28" xfId="0" applyNumberFormat="1" applyFont="1" applyFill="1" applyBorder="1"/>
    <xf numFmtId="0" fontId="25" fillId="6" borderId="0" xfId="0" applyFont="1" applyFill="1"/>
    <xf numFmtId="0" fontId="26" fillId="7" borderId="0" xfId="0" applyFont="1" applyFill="1"/>
    <xf numFmtId="0" fontId="27" fillId="7" borderId="0" xfId="0" applyFont="1" applyFill="1"/>
    <xf numFmtId="0" fontId="28" fillId="0" borderId="0" xfId="0" applyFont="1"/>
    <xf numFmtId="0" fontId="29" fillId="0" borderId="0" xfId="0" applyFont="1"/>
    <xf numFmtId="0" fontId="3" fillId="0" borderId="0" xfId="0" applyFont="1"/>
    <xf numFmtId="0" fontId="5" fillId="2" borderId="0" xfId="0" applyFont="1" applyFill="1" applyBorder="1"/>
    <xf numFmtId="164" fontId="24" fillId="8" borderId="0" xfId="0" applyNumberFormat="1" applyFont="1" applyFill="1"/>
    <xf numFmtId="0" fontId="30" fillId="0" borderId="0" xfId="0" applyFont="1"/>
    <xf numFmtId="0" fontId="31" fillId="0" borderId="0" xfId="0" applyFont="1"/>
    <xf numFmtId="0" fontId="32" fillId="4" borderId="29" xfId="0" applyFont="1" applyFill="1" applyBorder="1"/>
    <xf numFmtId="0" fontId="33" fillId="9" borderId="30" xfId="0" applyFont="1" applyFill="1" applyBorder="1"/>
    <xf numFmtId="0" fontId="32" fillId="4" borderId="30" xfId="0" applyFont="1" applyFill="1" applyBorder="1"/>
    <xf numFmtId="0" fontId="33" fillId="9" borderId="31" xfId="0" applyFont="1" applyFill="1" applyBorder="1"/>
    <xf numFmtId="0" fontId="32" fillId="0" borderId="0" xfId="0" applyFont="1"/>
    <xf numFmtId="0" fontId="32" fillId="4" borderId="32" xfId="0" applyFont="1" applyFill="1" applyBorder="1"/>
    <xf numFmtId="0" fontId="33" fillId="9" borderId="0" xfId="0" applyFont="1" applyFill="1"/>
    <xf numFmtId="0" fontId="32" fillId="4" borderId="0" xfId="0" applyFont="1" applyFill="1"/>
    <xf numFmtId="0" fontId="33" fillId="9" borderId="33" xfId="0" applyFont="1" applyFill="1" applyBorder="1"/>
    <xf numFmtId="0" fontId="32" fillId="4" borderId="34" xfId="0" applyFont="1" applyFill="1" applyBorder="1"/>
    <xf numFmtId="0" fontId="33" fillId="9" borderId="35" xfId="0" applyFont="1" applyFill="1" applyBorder="1"/>
    <xf numFmtId="0" fontId="32" fillId="4" borderId="35" xfId="0" applyFont="1" applyFill="1" applyBorder="1"/>
    <xf numFmtId="0" fontId="33" fillId="9" borderId="36" xfId="0" applyFont="1" applyFill="1" applyBorder="1"/>
    <xf numFmtId="0" fontId="34" fillId="0" borderId="0" xfId="0" applyFont="1"/>
    <xf numFmtId="0" fontId="35" fillId="0" borderId="0" xfId="0" applyFont="1"/>
    <xf numFmtId="0" fontId="34" fillId="0" borderId="0" xfId="0" applyNumberFormat="1" applyFont="1"/>
    <xf numFmtId="0" fontId="36" fillId="0" borderId="0" xfId="0" applyFont="1" applyFill="1"/>
    <xf numFmtId="0" fontId="36" fillId="0" borderId="0" xfId="0" applyFont="1"/>
    <xf numFmtId="0" fontId="37" fillId="0" borderId="0" xfId="0" applyFont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41" fillId="0" borderId="0" xfId="0" applyFont="1"/>
    <xf numFmtId="165" fontId="34" fillId="0" borderId="0" xfId="0" applyNumberFormat="1" applyFont="1"/>
    <xf numFmtId="0" fontId="34" fillId="0" borderId="0" xfId="0" applyFont="1" applyFill="1"/>
    <xf numFmtId="0" fontId="35" fillId="0" borderId="0" xfId="0" applyFont="1" applyFill="1"/>
    <xf numFmtId="164" fontId="35" fillId="0" borderId="0" xfId="0" applyNumberFormat="1" applyFont="1"/>
    <xf numFmtId="0" fontId="2" fillId="0" borderId="0" xfId="0" applyFont="1" applyBorder="1"/>
    <xf numFmtId="0" fontId="42" fillId="0" borderId="0" xfId="0" applyFont="1"/>
    <xf numFmtId="0" fontId="43" fillId="0" borderId="0" xfId="0" applyFont="1"/>
    <xf numFmtId="0" fontId="0" fillId="2" borderId="5" xfId="0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5C8526"/>
      <rgbColor rgb="00800080"/>
      <rgbColor rgb="00008080"/>
      <rgbColor rgb="00C0C0C0"/>
      <rgbColor rgb="00808080"/>
      <rgbColor rgb="009999FF"/>
      <rgbColor rgb="00DC2300"/>
      <rgbColor rgb="00E6E6E6"/>
      <rgbColor rgb="00CCFFFF"/>
      <rgbColor rgb="005E11A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66"/>
      <rgbColor rgb="0094BD5E"/>
      <rgbColor rgb="00FFCC00"/>
      <rgbColor rgb="00FF9900"/>
      <rgbColor rgb="00CC6633"/>
      <rgbColor rgb="00666699"/>
      <rgbColor rgb="00969696"/>
      <rgbColor rgb="00003366"/>
      <rgbColor rgb="0000AE00"/>
      <rgbColor rgb="00003300"/>
      <rgbColor rgb="00355E00"/>
      <rgbColor rgb="00B847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13"/>
  <sheetViews>
    <sheetView topLeftCell="A61" workbookViewId="0">
      <selection activeCell="B79" sqref="B79"/>
    </sheetView>
  </sheetViews>
  <sheetFormatPr baseColWidth="10" defaultColWidth="11.5703125" defaultRowHeight="12.75"/>
  <cols>
    <col min="1" max="1" width="5.5703125" style="1" customWidth="1"/>
    <col min="2" max="2" width="69.7109375" style="1" customWidth="1"/>
    <col min="3" max="3" width="52" style="1" customWidth="1"/>
    <col min="4" max="16384" width="11.5703125" style="1"/>
  </cols>
  <sheetData>
    <row r="2" spans="2:2" ht="15.75">
      <c r="B2" s="2" t="s">
        <v>0</v>
      </c>
    </row>
    <row r="4" spans="2:2">
      <c r="B4" s="3" t="s">
        <v>1</v>
      </c>
    </row>
    <row r="5" spans="2:2">
      <c r="B5" s="4" t="s">
        <v>2</v>
      </c>
    </row>
    <row r="6" spans="2:2">
      <c r="B6" s="5" t="s">
        <v>3</v>
      </c>
    </row>
    <row r="7" spans="2:2">
      <c r="B7" s="6" t="s">
        <v>4</v>
      </c>
    </row>
    <row r="9" spans="2:2" ht="15.75">
      <c r="B9" s="7" t="s">
        <v>5</v>
      </c>
    </row>
    <row r="10" spans="2:2">
      <c r="B10" s="1" t="s">
        <v>6</v>
      </c>
    </row>
    <row r="11" spans="2:2">
      <c r="B11" s="1" t="s">
        <v>7</v>
      </c>
    </row>
    <row r="13" spans="2:2" ht="15.75">
      <c r="B13" s="7" t="s">
        <v>8</v>
      </c>
    </row>
    <row r="14" spans="2:2">
      <c r="B14" s="1" t="s">
        <v>9</v>
      </c>
    </row>
    <row r="15" spans="2:2">
      <c r="B15" s="1" t="s">
        <v>10</v>
      </c>
    </row>
    <row r="17" spans="2:2" ht="15.75">
      <c r="B17" s="7" t="s">
        <v>11</v>
      </c>
    </row>
    <row r="18" spans="2:2">
      <c r="B18" s="1" t="s">
        <v>12</v>
      </c>
    </row>
    <row r="19" spans="2:2">
      <c r="B19" s="1" t="s">
        <v>13</v>
      </c>
    </row>
    <row r="20" spans="2:2">
      <c r="B20" s="1" t="s">
        <v>14</v>
      </c>
    </row>
    <row r="22" spans="2:2" ht="15.75">
      <c r="B22" s="7" t="s">
        <v>15</v>
      </c>
    </row>
    <row r="23" spans="2:2">
      <c r="B23" s="1" t="s">
        <v>16</v>
      </c>
    </row>
    <row r="24" spans="2:2">
      <c r="B24" s="1" t="s">
        <v>17</v>
      </c>
    </row>
    <row r="25" spans="2:2">
      <c r="B25" s="1" t="s">
        <v>18</v>
      </c>
    </row>
    <row r="26" spans="2:2">
      <c r="B26" s="1" t="s">
        <v>19</v>
      </c>
    </row>
    <row r="28" spans="2:2" ht="15.75">
      <c r="B28" s="7" t="s">
        <v>20</v>
      </c>
    </row>
    <row r="29" spans="2:2">
      <c r="B29" s="1" t="s">
        <v>21</v>
      </c>
    </row>
    <row r="30" spans="2:2">
      <c r="B30" s="1" t="s">
        <v>22</v>
      </c>
    </row>
    <row r="32" spans="2:2" ht="15.75">
      <c r="B32" s="7" t="s">
        <v>23</v>
      </c>
    </row>
    <row r="33" spans="1:2">
      <c r="B33" s="1" t="s">
        <v>24</v>
      </c>
    </row>
    <row r="34" spans="1:2">
      <c r="B34" s="1" t="s">
        <v>25</v>
      </c>
    </row>
    <row r="36" spans="1:2" ht="15.75">
      <c r="B36" s="7" t="s">
        <v>26</v>
      </c>
    </row>
    <row r="37" spans="1:2">
      <c r="B37" s="1" t="s">
        <v>27</v>
      </c>
    </row>
    <row r="38" spans="1:2">
      <c r="B38" s="1" t="s">
        <v>28</v>
      </c>
    </row>
    <row r="41" spans="1:2">
      <c r="A41" s="8"/>
      <c r="B41" s="9" t="s">
        <v>29</v>
      </c>
    </row>
    <row r="42" spans="1:2">
      <c r="A42" s="8"/>
      <c r="B42" s="8"/>
    </row>
    <row r="43" spans="1:2">
      <c r="A43" s="8"/>
      <c r="B43" s="8" t="s">
        <v>30</v>
      </c>
    </row>
    <row r="44" spans="1:2">
      <c r="A44" s="8"/>
      <c r="B44" s="8" t="s">
        <v>31</v>
      </c>
    </row>
    <row r="45" spans="1:2">
      <c r="A45" s="8"/>
      <c r="B45" s="8"/>
    </row>
    <row r="46" spans="1:2">
      <c r="A46" s="8"/>
      <c r="B46" s="8" t="s">
        <v>32</v>
      </c>
    </row>
    <row r="47" spans="1:2">
      <c r="A47" s="8"/>
      <c r="B47" s="8" t="s">
        <v>33</v>
      </c>
    </row>
    <row r="48" spans="1:2">
      <c r="A48" s="8"/>
      <c r="B48" s="8" t="s">
        <v>34</v>
      </c>
    </row>
    <row r="49" spans="1:2">
      <c r="A49" s="8"/>
      <c r="B49" s="8"/>
    </row>
    <row r="50" spans="1:2">
      <c r="A50" s="8"/>
      <c r="B50" s="9" t="s">
        <v>35</v>
      </c>
    </row>
    <row r="51" spans="1:2">
      <c r="A51" s="8"/>
      <c r="B51" s="8"/>
    </row>
    <row r="52" spans="1:2">
      <c r="A52" s="8"/>
      <c r="B52" s="8" t="s">
        <v>36</v>
      </c>
    </row>
    <row r="53" spans="1:2">
      <c r="A53" s="8">
        <v>1</v>
      </c>
      <c r="B53" s="8" t="s">
        <v>37</v>
      </c>
    </row>
    <row r="54" spans="1:2">
      <c r="A54" s="8">
        <v>2</v>
      </c>
      <c r="B54" s="8" t="s">
        <v>38</v>
      </c>
    </row>
    <row r="55" spans="1:2">
      <c r="A55" s="8">
        <v>3</v>
      </c>
      <c r="B55" s="8" t="s">
        <v>39</v>
      </c>
    </row>
    <row r="56" spans="1:2">
      <c r="A56" s="8"/>
      <c r="B56" s="8" t="s">
        <v>40</v>
      </c>
    </row>
    <row r="57" spans="1:2">
      <c r="A57" s="8">
        <v>4</v>
      </c>
      <c r="B57" s="8" t="s">
        <v>41</v>
      </c>
    </row>
    <row r="58" spans="1:2">
      <c r="A58" s="8"/>
      <c r="B58" s="8" t="s">
        <v>42</v>
      </c>
    </row>
    <row r="59" spans="1:2">
      <c r="A59" s="8"/>
      <c r="B59" s="8" t="s">
        <v>43</v>
      </c>
    </row>
    <row r="60" spans="1:2">
      <c r="A60" s="8"/>
      <c r="B60" s="8" t="s">
        <v>44</v>
      </c>
    </row>
    <row r="61" spans="1:2">
      <c r="A61" s="8"/>
      <c r="B61" s="8"/>
    </row>
    <row r="62" spans="1:2">
      <c r="A62" s="8">
        <v>5</v>
      </c>
      <c r="B62" s="8" t="s">
        <v>45</v>
      </c>
    </row>
    <row r="63" spans="1:2">
      <c r="A63" s="8">
        <v>6</v>
      </c>
      <c r="B63" s="8" t="s">
        <v>46</v>
      </c>
    </row>
    <row r="64" spans="1:2">
      <c r="A64" s="8">
        <v>7</v>
      </c>
      <c r="B64" s="8" t="s">
        <v>47</v>
      </c>
    </row>
    <row r="65" spans="1:2">
      <c r="A65" s="8">
        <v>8</v>
      </c>
      <c r="B65" s="8" t="s">
        <v>48</v>
      </c>
    </row>
    <row r="66" spans="1:2">
      <c r="A66" s="8"/>
      <c r="B66" s="8" t="s">
        <v>49</v>
      </c>
    </row>
    <row r="67" spans="1:2">
      <c r="A67" s="8"/>
      <c r="B67" s="8"/>
    </row>
    <row r="68" spans="1:2">
      <c r="A68" s="8"/>
      <c r="B68" s="8" t="s">
        <v>50</v>
      </c>
    </row>
    <row r="69" spans="1:2">
      <c r="A69" s="8"/>
      <c r="B69" s="8"/>
    </row>
    <row r="70" spans="1:2">
      <c r="A70" s="8"/>
      <c r="B70" s="8" t="s">
        <v>51</v>
      </c>
    </row>
    <row r="71" spans="1:2">
      <c r="A71" s="8"/>
      <c r="B71" s="8" t="s">
        <v>52</v>
      </c>
    </row>
    <row r="72" spans="1:2">
      <c r="A72" s="8"/>
      <c r="B72" s="8" t="s">
        <v>53</v>
      </c>
    </row>
    <row r="73" spans="1:2" ht="15.75">
      <c r="A73" s="8"/>
      <c r="B73" s="8" t="s">
        <v>54</v>
      </c>
    </row>
    <row r="75" spans="1:2">
      <c r="A75" s="10"/>
      <c r="B75" s="11" t="s">
        <v>55</v>
      </c>
    </row>
    <row r="76" spans="1:2">
      <c r="A76" s="10"/>
      <c r="B76" s="11"/>
    </row>
    <row r="77" spans="1:2">
      <c r="A77" s="10"/>
      <c r="B77" s="12" t="s">
        <v>56</v>
      </c>
    </row>
    <row r="78" spans="1:2">
      <c r="A78" s="10"/>
      <c r="B78" s="10" t="s">
        <v>57</v>
      </c>
    </row>
    <row r="79" spans="1:2">
      <c r="A79" s="10"/>
      <c r="B79" s="11"/>
    </row>
    <row r="80" spans="1:2">
      <c r="A80" s="10"/>
      <c r="B80" s="12" t="s">
        <v>58</v>
      </c>
    </row>
    <row r="81" spans="1:2">
      <c r="A81" s="10"/>
      <c r="B81" s="10" t="s">
        <v>59</v>
      </c>
    </row>
    <row r="82" spans="1:2">
      <c r="A82" s="10"/>
      <c r="B82" s="10" t="s">
        <v>60</v>
      </c>
    </row>
    <row r="83" spans="1:2">
      <c r="A83" s="10"/>
      <c r="B83" s="11"/>
    </row>
    <row r="84" spans="1:2">
      <c r="A84" s="10"/>
      <c r="B84" s="12" t="s">
        <v>61</v>
      </c>
    </row>
    <row r="85" spans="1:2">
      <c r="A85" s="10"/>
      <c r="B85" s="10" t="s">
        <v>62</v>
      </c>
    </row>
    <row r="86" spans="1:2">
      <c r="A86" s="10"/>
      <c r="B86" s="10" t="s">
        <v>63</v>
      </c>
    </row>
    <row r="87" spans="1:2">
      <c r="A87" s="10"/>
      <c r="B87" s="10" t="s">
        <v>64</v>
      </c>
    </row>
    <row r="88" spans="1:2">
      <c r="A88" s="10"/>
      <c r="B88" s="12"/>
    </row>
    <row r="89" spans="1:2">
      <c r="A89" s="10"/>
      <c r="B89" s="12" t="s">
        <v>65</v>
      </c>
    </row>
    <row r="90" spans="1:2">
      <c r="A90" s="10"/>
      <c r="B90" s="10" t="s">
        <v>66</v>
      </c>
    </row>
    <row r="91" spans="1:2">
      <c r="A91" s="10"/>
      <c r="B91" s="10" t="s">
        <v>67</v>
      </c>
    </row>
    <row r="92" spans="1:2">
      <c r="A92" s="10"/>
      <c r="B92" s="11"/>
    </row>
    <row r="93" spans="1:2">
      <c r="A93" s="10"/>
      <c r="B93" s="12" t="s">
        <v>68</v>
      </c>
    </row>
    <row r="94" spans="1:2">
      <c r="A94" s="10"/>
      <c r="B94" s="10" t="s">
        <v>69</v>
      </c>
    </row>
    <row r="95" spans="1:2">
      <c r="A95" s="10"/>
      <c r="B95" s="10" t="s">
        <v>70</v>
      </c>
    </row>
    <row r="96" spans="1:2">
      <c r="A96" s="10"/>
      <c r="B96" s="10"/>
    </row>
    <row r="97" spans="1:2">
      <c r="A97" s="10"/>
      <c r="B97" s="12" t="s">
        <v>71</v>
      </c>
    </row>
    <row r="98" spans="1:2">
      <c r="A98" s="10"/>
      <c r="B98" s="10" t="s">
        <v>72</v>
      </c>
    </row>
    <row r="99" spans="1:2">
      <c r="A99" s="10"/>
      <c r="B99" s="10" t="s">
        <v>73</v>
      </c>
    </row>
    <row r="100" spans="1:2">
      <c r="A100" s="10"/>
      <c r="B100" s="10" t="s">
        <v>74</v>
      </c>
    </row>
    <row r="101" spans="1:2">
      <c r="A101" s="10"/>
      <c r="B101" s="10"/>
    </row>
    <row r="102" spans="1:2">
      <c r="A102" s="10"/>
      <c r="B102" s="12" t="s">
        <v>75</v>
      </c>
    </row>
    <row r="103" spans="1:2">
      <c r="A103" s="10"/>
      <c r="B103" s="10" t="s">
        <v>76</v>
      </c>
    </row>
    <row r="104" spans="1:2">
      <c r="A104" s="10"/>
      <c r="B104" s="10"/>
    </row>
    <row r="105" spans="1:2">
      <c r="A105" s="10"/>
      <c r="B105" s="12" t="s">
        <v>77</v>
      </c>
    </row>
    <row r="106" spans="1:2">
      <c r="A106" s="10"/>
      <c r="B106" s="10" t="s">
        <v>78</v>
      </c>
    </row>
    <row r="107" spans="1:2">
      <c r="A107" s="10"/>
      <c r="B107" s="10" t="s">
        <v>79</v>
      </c>
    </row>
    <row r="108" spans="1:2">
      <c r="A108" s="10"/>
      <c r="B108" s="10" t="s">
        <v>80</v>
      </c>
    </row>
    <row r="109" spans="1:2">
      <c r="A109" s="10"/>
      <c r="B109" s="10"/>
    </row>
    <row r="110" spans="1:2">
      <c r="A110" s="10"/>
      <c r="B110" s="12" t="s">
        <v>81</v>
      </c>
    </row>
    <row r="111" spans="1:2">
      <c r="A111" s="10"/>
      <c r="B111" s="10" t="s">
        <v>82</v>
      </c>
    </row>
    <row r="112" spans="1:2">
      <c r="A112" s="10"/>
      <c r="B112" s="10"/>
    </row>
    <row r="113" spans="1:2">
      <c r="A113" s="10"/>
      <c r="B113" s="10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128"/>
  <sheetViews>
    <sheetView tabSelected="1" topLeftCell="A38" workbookViewId="0">
      <selection activeCell="A57" sqref="A49:A57"/>
    </sheetView>
  </sheetViews>
  <sheetFormatPr baseColWidth="10" defaultColWidth="11.5703125" defaultRowHeight="12.75"/>
  <cols>
    <col min="1" max="1" width="14.42578125" style="1" customWidth="1"/>
    <col min="2" max="2" width="11.28515625" style="1" customWidth="1"/>
    <col min="3" max="3" width="9" style="1" customWidth="1"/>
    <col min="4" max="4" width="11.5703125" style="1"/>
    <col min="5" max="5" width="11.28515625" style="1" customWidth="1"/>
    <col min="6" max="6" width="10.140625" style="1" customWidth="1"/>
    <col min="7" max="7" width="7.7109375" style="1" customWidth="1"/>
    <col min="8" max="8" width="8.42578125" style="1" customWidth="1"/>
    <col min="9" max="9" width="9.7109375" style="1" customWidth="1"/>
    <col min="10" max="10" width="12.5703125" style="1" customWidth="1"/>
    <col min="11" max="11" width="12.7109375" style="1" customWidth="1"/>
    <col min="12" max="13" width="9" style="1" customWidth="1"/>
    <col min="14" max="14" width="6.7109375" style="1" customWidth="1"/>
    <col min="15" max="15" width="7.42578125" style="1" customWidth="1"/>
    <col min="16" max="16" width="8" style="1" customWidth="1"/>
    <col min="17" max="17" width="7.5703125" style="1" customWidth="1"/>
    <col min="18" max="18" width="6.85546875" style="1" customWidth="1"/>
    <col min="19" max="16384" width="11.5703125" style="1"/>
  </cols>
  <sheetData>
    <row r="1" spans="1:13" s="13" customFormat="1">
      <c r="A1" s="13" t="s">
        <v>83</v>
      </c>
      <c r="B1" s="13" t="s">
        <v>84</v>
      </c>
      <c r="C1" s="13" t="s">
        <v>85</v>
      </c>
      <c r="E1" s="13" t="s">
        <v>86</v>
      </c>
      <c r="G1" s="13" t="s">
        <v>87</v>
      </c>
      <c r="H1" s="13" t="s">
        <v>88</v>
      </c>
      <c r="I1" s="109" t="s">
        <v>89</v>
      </c>
      <c r="J1" s="109"/>
      <c r="K1" s="13" t="s">
        <v>90</v>
      </c>
      <c r="L1" s="1"/>
    </row>
    <row r="2" spans="1:13">
      <c r="A2" s="14" t="s">
        <v>130</v>
      </c>
      <c r="B2" s="15">
        <v>1</v>
      </c>
      <c r="C2" s="16" t="s">
        <v>131</v>
      </c>
      <c r="D2" s="1" t="s">
        <v>91</v>
      </c>
      <c r="E2" s="1" t="s">
        <v>92</v>
      </c>
      <c r="F2" s="1" t="s">
        <v>93</v>
      </c>
    </row>
    <row r="3" spans="1:13">
      <c r="A3" s="17" t="s">
        <v>132</v>
      </c>
      <c r="B3" s="18"/>
      <c r="C3" s="19" t="s">
        <v>133</v>
      </c>
      <c r="D3" s="20">
        <v>1</v>
      </c>
      <c r="E3" s="21" t="s">
        <v>173</v>
      </c>
      <c r="F3" s="21" t="s">
        <v>174</v>
      </c>
      <c r="G3" s="21" t="s">
        <v>175</v>
      </c>
      <c r="H3" s="21">
        <v>1</v>
      </c>
      <c r="I3" s="22"/>
      <c r="J3" s="23" t="str">
        <f t="shared" ref="J3:J18" si="0">IF(I3=1,E3,IF(I3=2,F3,""))</f>
        <v/>
      </c>
      <c r="K3" s="24"/>
      <c r="L3" s="25" t="str">
        <f t="shared" ref="L3:L18" si="1">IF(AND(G3="",NOT(K3="")),"Please remove the score, this is not a SR or PTS match",IF(AND(K3="",NOT(G3=""),I3&gt;0),"Please put in the score for this match",""))</f>
        <v/>
      </c>
      <c r="M3" s="25" t="str">
        <f t="shared" ref="M3:M18" si="2">IF(AND(H3="",NOT(E3="")),"Please set the day for this match","")</f>
        <v/>
      </c>
    </row>
    <row r="4" spans="1:13">
      <c r="A4" s="17" t="s">
        <v>134</v>
      </c>
      <c r="B4" s="18"/>
      <c r="C4" s="19" t="s">
        <v>135</v>
      </c>
      <c r="D4" s="20">
        <v>2</v>
      </c>
      <c r="E4" s="21" t="s">
        <v>176</v>
      </c>
      <c r="F4" s="21" t="s">
        <v>177</v>
      </c>
      <c r="G4" s="21" t="s">
        <v>175</v>
      </c>
      <c r="H4" s="21">
        <v>1</v>
      </c>
      <c r="I4" s="22"/>
      <c r="J4" s="23" t="str">
        <f t="shared" si="0"/>
        <v/>
      </c>
      <c r="K4" s="24"/>
      <c r="L4" s="25" t="str">
        <f t="shared" si="1"/>
        <v/>
      </c>
      <c r="M4" s="25" t="str">
        <f t="shared" si="2"/>
        <v/>
      </c>
    </row>
    <row r="5" spans="1:13">
      <c r="A5" s="17" t="s">
        <v>136</v>
      </c>
      <c r="B5" s="18">
        <v>6</v>
      </c>
      <c r="C5" s="19" t="s">
        <v>137</v>
      </c>
      <c r="D5" s="20">
        <v>3</v>
      </c>
      <c r="E5" s="21" t="s">
        <v>178</v>
      </c>
      <c r="F5" s="21" t="s">
        <v>179</v>
      </c>
      <c r="G5" s="21" t="s">
        <v>175</v>
      </c>
      <c r="H5" s="21">
        <v>1</v>
      </c>
      <c r="I5" s="22"/>
      <c r="J5" s="23" t="str">
        <f t="shared" si="0"/>
        <v/>
      </c>
      <c r="K5" s="24"/>
      <c r="L5" s="25" t="str">
        <f t="shared" si="1"/>
        <v/>
      </c>
      <c r="M5" s="25" t="str">
        <f t="shared" si="2"/>
        <v/>
      </c>
    </row>
    <row r="6" spans="1:13">
      <c r="A6" s="17" t="s">
        <v>138</v>
      </c>
      <c r="B6" s="18">
        <v>2</v>
      </c>
      <c r="C6" s="19" t="s">
        <v>133</v>
      </c>
      <c r="D6" s="20">
        <v>4</v>
      </c>
      <c r="E6" s="21" t="s">
        <v>180</v>
      </c>
      <c r="F6" s="21" t="s">
        <v>181</v>
      </c>
      <c r="G6" s="21" t="s">
        <v>175</v>
      </c>
      <c r="H6" s="21">
        <v>1</v>
      </c>
      <c r="I6" s="22"/>
      <c r="J6" s="23" t="str">
        <f t="shared" si="0"/>
        <v/>
      </c>
      <c r="K6" s="24"/>
      <c r="L6" s="25" t="str">
        <f t="shared" si="1"/>
        <v/>
      </c>
      <c r="M6" s="25" t="str">
        <f t="shared" si="2"/>
        <v/>
      </c>
    </row>
    <row r="7" spans="1:13">
      <c r="A7" s="17" t="s">
        <v>139</v>
      </c>
      <c r="B7" s="18"/>
      <c r="C7" s="19" t="s">
        <v>131</v>
      </c>
      <c r="D7" s="20">
        <v>5</v>
      </c>
      <c r="E7" s="110" t="s">
        <v>182</v>
      </c>
      <c r="F7" s="21" t="s">
        <v>183</v>
      </c>
      <c r="G7" s="21" t="s">
        <v>175</v>
      </c>
      <c r="H7" s="21">
        <v>1</v>
      </c>
      <c r="I7" s="22"/>
      <c r="J7" s="23" t="str">
        <f t="shared" si="0"/>
        <v/>
      </c>
      <c r="K7" s="24"/>
      <c r="L7" s="25" t="str">
        <f t="shared" si="1"/>
        <v/>
      </c>
      <c r="M7" s="25" t="str">
        <f t="shared" si="2"/>
        <v/>
      </c>
    </row>
    <row r="8" spans="1:13">
      <c r="A8" s="17" t="s">
        <v>361</v>
      </c>
      <c r="B8" s="18" t="s">
        <v>363</v>
      </c>
      <c r="C8" s="112" t="s">
        <v>133</v>
      </c>
      <c r="D8" s="20">
        <v>6</v>
      </c>
      <c r="E8" s="21" t="s">
        <v>184</v>
      </c>
      <c r="F8" s="21" t="s">
        <v>185</v>
      </c>
      <c r="G8" s="21" t="s">
        <v>175</v>
      </c>
      <c r="H8" s="21">
        <v>1</v>
      </c>
      <c r="I8" s="22"/>
      <c r="J8" s="23" t="str">
        <f t="shared" si="0"/>
        <v/>
      </c>
      <c r="K8" s="24"/>
      <c r="L8" s="25" t="str">
        <f t="shared" si="1"/>
        <v/>
      </c>
      <c r="M8" s="25" t="str">
        <f t="shared" si="2"/>
        <v/>
      </c>
    </row>
    <row r="9" spans="1:13">
      <c r="A9" s="17" t="s">
        <v>167</v>
      </c>
      <c r="B9" s="18" t="s">
        <v>363</v>
      </c>
      <c r="C9" s="112" t="s">
        <v>362</v>
      </c>
      <c r="D9" s="20">
        <v>7</v>
      </c>
      <c r="E9" s="21" t="s">
        <v>186</v>
      </c>
      <c r="F9" s="21" t="s">
        <v>187</v>
      </c>
      <c r="G9" s="21" t="s">
        <v>175</v>
      </c>
      <c r="H9" s="21">
        <v>1</v>
      </c>
      <c r="I9" s="22"/>
      <c r="J9" s="23" t="str">
        <f t="shared" si="0"/>
        <v/>
      </c>
      <c r="K9" s="24"/>
      <c r="L9" s="25" t="str">
        <f t="shared" si="1"/>
        <v/>
      </c>
      <c r="M9" s="25" t="str">
        <f t="shared" si="2"/>
        <v/>
      </c>
    </row>
    <row r="10" spans="1:13">
      <c r="A10" s="17" t="s">
        <v>142</v>
      </c>
      <c r="B10" s="18">
        <v>3</v>
      </c>
      <c r="C10" s="19" t="s">
        <v>143</v>
      </c>
      <c r="D10" s="20">
        <v>8</v>
      </c>
      <c r="E10" s="21" t="s">
        <v>188</v>
      </c>
      <c r="F10" s="21" t="s">
        <v>189</v>
      </c>
      <c r="G10" s="21" t="s">
        <v>175</v>
      </c>
      <c r="H10" s="21">
        <v>1</v>
      </c>
      <c r="I10" s="22"/>
      <c r="J10" s="23" t="str">
        <f t="shared" si="0"/>
        <v/>
      </c>
      <c r="K10" s="24"/>
      <c r="L10" s="25" t="str">
        <f t="shared" si="1"/>
        <v/>
      </c>
      <c r="M10" s="25" t="str">
        <f t="shared" si="2"/>
        <v/>
      </c>
    </row>
    <row r="11" spans="1:13">
      <c r="A11" s="17" t="s">
        <v>144</v>
      </c>
      <c r="B11" s="18"/>
      <c r="C11" s="19" t="s">
        <v>131</v>
      </c>
      <c r="D11" s="20">
        <v>9</v>
      </c>
      <c r="E11" s="21" t="s">
        <v>190</v>
      </c>
      <c r="F11" s="21" t="s">
        <v>191</v>
      </c>
      <c r="G11" s="21" t="s">
        <v>175</v>
      </c>
      <c r="H11" s="21">
        <v>1</v>
      </c>
      <c r="I11" s="22"/>
      <c r="J11" s="23" t="str">
        <f t="shared" si="0"/>
        <v/>
      </c>
      <c r="K11" s="24"/>
      <c r="L11" s="25" t="str">
        <f t="shared" si="1"/>
        <v/>
      </c>
      <c r="M11" s="25" t="str">
        <f t="shared" si="2"/>
        <v/>
      </c>
    </row>
    <row r="12" spans="1:13">
      <c r="A12" s="17" t="s">
        <v>145</v>
      </c>
      <c r="B12" s="18"/>
      <c r="C12" s="19" t="s">
        <v>133</v>
      </c>
      <c r="D12" s="20">
        <v>10</v>
      </c>
      <c r="E12" s="21" t="s">
        <v>192</v>
      </c>
      <c r="F12" s="21" t="s">
        <v>193</v>
      </c>
      <c r="G12" s="21" t="s">
        <v>175</v>
      </c>
      <c r="H12" s="21">
        <v>1</v>
      </c>
      <c r="I12" s="22"/>
      <c r="J12" s="23" t="str">
        <f t="shared" si="0"/>
        <v/>
      </c>
      <c r="K12" s="24"/>
      <c r="L12" s="25" t="str">
        <f t="shared" si="1"/>
        <v/>
      </c>
      <c r="M12" s="25" t="str">
        <f t="shared" si="2"/>
        <v/>
      </c>
    </row>
    <row r="13" spans="1:13">
      <c r="A13" s="17" t="s">
        <v>146</v>
      </c>
      <c r="B13" s="18">
        <v>7</v>
      </c>
      <c r="C13" s="19" t="s">
        <v>133</v>
      </c>
      <c r="D13" s="20">
        <v>11</v>
      </c>
      <c r="E13" s="21" t="s">
        <v>194</v>
      </c>
      <c r="F13" s="21" t="s">
        <v>195</v>
      </c>
      <c r="G13" s="21" t="s">
        <v>175</v>
      </c>
      <c r="H13" s="21">
        <v>1</v>
      </c>
      <c r="I13" s="22"/>
      <c r="J13" s="23" t="str">
        <f t="shared" si="0"/>
        <v/>
      </c>
      <c r="K13" s="24"/>
      <c r="L13" s="25" t="str">
        <f t="shared" si="1"/>
        <v/>
      </c>
      <c r="M13" s="25" t="str">
        <f t="shared" si="2"/>
        <v/>
      </c>
    </row>
    <row r="14" spans="1:13">
      <c r="A14" s="17" t="s">
        <v>169</v>
      </c>
      <c r="B14" s="18" t="s">
        <v>363</v>
      </c>
      <c r="C14" s="112" t="s">
        <v>171</v>
      </c>
      <c r="D14" s="20">
        <v>12</v>
      </c>
      <c r="E14" s="21" t="s">
        <v>196</v>
      </c>
      <c r="F14" s="21" t="s">
        <v>197</v>
      </c>
      <c r="G14" s="21" t="s">
        <v>175</v>
      </c>
      <c r="H14" s="21">
        <v>1</v>
      </c>
      <c r="I14" s="22"/>
      <c r="J14" s="23" t="str">
        <f t="shared" si="0"/>
        <v/>
      </c>
      <c r="K14" s="24"/>
      <c r="L14" s="25" t="str">
        <f t="shared" si="1"/>
        <v/>
      </c>
      <c r="M14" s="25" t="str">
        <f t="shared" si="2"/>
        <v/>
      </c>
    </row>
    <row r="15" spans="1:13">
      <c r="A15" s="17" t="s">
        <v>147</v>
      </c>
      <c r="B15" s="18"/>
      <c r="C15" s="19" t="s">
        <v>133</v>
      </c>
      <c r="D15" s="20">
        <v>13</v>
      </c>
      <c r="E15" s="21" t="s">
        <v>198</v>
      </c>
      <c r="F15" s="21" t="s">
        <v>199</v>
      </c>
      <c r="G15" s="21" t="s">
        <v>175</v>
      </c>
      <c r="H15" s="21">
        <v>1</v>
      </c>
      <c r="I15" s="22"/>
      <c r="J15" s="23" t="str">
        <f t="shared" si="0"/>
        <v/>
      </c>
      <c r="K15" s="24"/>
      <c r="L15" s="25" t="str">
        <f t="shared" si="1"/>
        <v/>
      </c>
      <c r="M15" s="25" t="str">
        <f t="shared" si="2"/>
        <v/>
      </c>
    </row>
    <row r="16" spans="1:13">
      <c r="A16" s="17" t="s">
        <v>148</v>
      </c>
      <c r="B16" s="18"/>
      <c r="C16" s="19" t="s">
        <v>149</v>
      </c>
      <c r="D16" s="20">
        <v>14</v>
      </c>
      <c r="E16" s="21" t="s">
        <v>200</v>
      </c>
      <c r="F16" s="21" t="s">
        <v>201</v>
      </c>
      <c r="G16" s="21" t="s">
        <v>175</v>
      </c>
      <c r="H16" s="21">
        <v>1</v>
      </c>
      <c r="I16" s="22"/>
      <c r="J16" s="23" t="str">
        <f t="shared" si="0"/>
        <v/>
      </c>
      <c r="K16" s="24"/>
      <c r="L16" s="25" t="str">
        <f t="shared" si="1"/>
        <v/>
      </c>
      <c r="M16" s="25" t="str">
        <f t="shared" si="2"/>
        <v/>
      </c>
    </row>
    <row r="17" spans="1:17">
      <c r="A17" s="17" t="s">
        <v>150</v>
      </c>
      <c r="B17" s="18">
        <v>5</v>
      </c>
      <c r="C17" s="19" t="s">
        <v>131</v>
      </c>
      <c r="D17" s="20">
        <v>15</v>
      </c>
      <c r="E17" s="21" t="s">
        <v>202</v>
      </c>
      <c r="F17" s="21" t="s">
        <v>200</v>
      </c>
      <c r="G17" s="21" t="s">
        <v>175</v>
      </c>
      <c r="H17" s="21">
        <v>1</v>
      </c>
      <c r="I17" s="22"/>
      <c r="J17" s="23" t="str">
        <f t="shared" si="0"/>
        <v/>
      </c>
      <c r="K17" s="24"/>
      <c r="L17" s="25" t="str">
        <f t="shared" si="1"/>
        <v/>
      </c>
      <c r="M17" s="25" t="str">
        <f t="shared" si="2"/>
        <v/>
      </c>
    </row>
    <row r="18" spans="1:17">
      <c r="A18" s="17"/>
      <c r="B18" s="18"/>
      <c r="C18" s="19"/>
      <c r="D18" s="20">
        <v>16</v>
      </c>
      <c r="E18" s="21" t="s">
        <v>203</v>
      </c>
      <c r="F18" s="21" t="s">
        <v>204</v>
      </c>
      <c r="G18" s="21" t="s">
        <v>175</v>
      </c>
      <c r="H18" s="21">
        <v>1</v>
      </c>
      <c r="I18" s="22"/>
      <c r="J18" s="23" t="str">
        <f t="shared" si="0"/>
        <v/>
      </c>
      <c r="K18" s="24"/>
      <c r="L18" s="25" t="str">
        <f t="shared" si="1"/>
        <v/>
      </c>
      <c r="M18" s="25" t="str">
        <f t="shared" si="2"/>
        <v/>
      </c>
    </row>
    <row r="19" spans="1:17" s="13" customFormat="1">
      <c r="A19" s="17"/>
      <c r="B19" s="18"/>
      <c r="C19" s="19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>
      <c r="A20" s="17"/>
      <c r="B20" s="18"/>
      <c r="C20" s="19"/>
      <c r="E20" s="26" t="s">
        <v>94</v>
      </c>
      <c r="H20" s="27">
        <v>1</v>
      </c>
    </row>
    <row r="21" spans="1:17">
      <c r="A21" s="17"/>
      <c r="B21" s="18"/>
      <c r="C21" s="19"/>
      <c r="E21" s="26" t="s">
        <v>95</v>
      </c>
      <c r="H21" s="3">
        <v>1</v>
      </c>
    </row>
    <row r="22" spans="1:17">
      <c r="A22" s="17"/>
      <c r="B22" s="18"/>
      <c r="C22" s="19"/>
      <c r="E22" s="26" t="s">
        <v>96</v>
      </c>
      <c r="H22" s="3">
        <v>16</v>
      </c>
      <c r="I22" s="28" t="s">
        <v>97</v>
      </c>
    </row>
    <row r="23" spans="1:17">
      <c r="A23" s="17"/>
      <c r="B23" s="18"/>
      <c r="C23" s="19"/>
      <c r="E23" s="26" t="s">
        <v>98</v>
      </c>
      <c r="H23" s="29" t="s">
        <v>99</v>
      </c>
      <c r="I23" s="28" t="s">
        <v>100</v>
      </c>
    </row>
    <row r="24" spans="1:17">
      <c r="A24" s="17"/>
      <c r="B24" s="18"/>
      <c r="C24" s="19"/>
    </row>
    <row r="25" spans="1:17">
      <c r="A25" s="17"/>
      <c r="B25" s="18"/>
      <c r="C25" s="19"/>
      <c r="E25" s="30" t="s">
        <v>101</v>
      </c>
    </row>
    <row r="26" spans="1:17" ht="13.5">
      <c r="A26" s="17"/>
      <c r="B26" s="18"/>
      <c r="C26" s="19"/>
      <c r="E26" s="31" t="s">
        <v>102</v>
      </c>
    </row>
    <row r="27" spans="1:17" ht="13.5">
      <c r="A27" s="17"/>
      <c r="B27" s="18"/>
      <c r="C27" s="19"/>
      <c r="E27" s="31" t="str">
        <f>"00:00 | "&amp;IF(AND(B2&gt;0,B2&lt;33),"[b]("&amp;B2&amp;") "&amp;A2&amp;" ("&amp;C2&amp;")[/b]",IF(LEN(B2)&gt;0,"("&amp;B2&amp;") "&amp;A2&amp;" ("&amp;C2&amp;")",IF(LEN(C2)&gt;0,A2&amp;" ("&amp;C2&amp;")",A2)))&amp;" vs. "&amp;IF(AND(B3&gt;0,B3&lt;33),"[b]("&amp;B3&amp;") "&amp;A3&amp;" ("&amp;C3&amp;")[/b]",IF(LEN(B3)&gt;0,"("&amp;B3&amp;") "&amp;A3&amp;" ("&amp;C3&amp;")",IF(LEN(C3)&gt;0,A3&amp;" ("&amp;C3&amp;")",A3)))</f>
        <v>00:00 | [b](1) Sauletekis (POR)[/b] vs. gabrieltufao (BRA)</v>
      </c>
    </row>
    <row r="28" spans="1:17" ht="13.5">
      <c r="A28" s="17"/>
      <c r="B28" s="18"/>
      <c r="C28" s="19"/>
      <c r="E28" s="31" t="str">
        <f>"00:00 | "&amp;IF(AND(B4&gt;0,B4&lt;33),"[b]("&amp;B4&amp;") "&amp;A4&amp;" ("&amp;C4&amp;")[/b]",IF(LEN(B4)&gt;0,"("&amp;B4&amp;") "&amp;A4&amp;" ("&amp;C4&amp;")",IF(LEN(C4)&gt;0,A4&amp;" ("&amp;C4&amp;")",A4)))&amp;" vs. "&amp;IF(AND(B5&gt;0,B5&lt;33),"[b]("&amp;B5&amp;") "&amp;A5&amp;" ("&amp;C5&amp;")[/b]",IF(LEN(B5)&gt;0,"("&amp;B5&amp;") "&amp;A5&amp;" ("&amp;C5&amp;")",IF(LEN(C5)&gt;0,A5&amp;" ("&amp;C5&amp;")",A5)))</f>
        <v>00:00 | Lazyking (USA) vs. [b](6) Daniel_amr (PER)[/b]</v>
      </c>
    </row>
    <row r="29" spans="1:17" ht="13.5">
      <c r="A29" s="17"/>
      <c r="B29" s="18"/>
      <c r="C29" s="19"/>
      <c r="E29" s="31" t="str">
        <f>"00:00 | "&amp;IF(AND(B6&gt;0,B6&lt;33),"[b]("&amp;B6&amp;") "&amp;A6&amp;" ("&amp;C6&amp;")[/b]",IF(LEN(B6)&gt;0,"("&amp;B6&amp;") "&amp;A6&amp;" ("&amp;C6&amp;")",IF(LEN(C6)&gt;0,A6&amp;" ("&amp;C6&amp;")",A6)))&amp;" vs. "&amp;IF(AND(B7&gt;0,B7&lt;33),"[b]("&amp;B7&amp;") "&amp;A7&amp;" ("&amp;C7&amp;")[/b]",IF(LEN(B7)&gt;0,"("&amp;B7&amp;") "&amp;A7&amp;" ("&amp;C7&amp;")",IF(LEN(C7)&gt;0,A7&amp;" ("&amp;C7&amp;")",A7)))</f>
        <v>00:00 | [b](2) geangr (BRA)[/b] vs. Ramsay (POR)</v>
      </c>
    </row>
    <row r="30" spans="1:17" ht="13.5">
      <c r="A30" s="17"/>
      <c r="B30" s="18"/>
      <c r="C30" s="19"/>
      <c r="E30" s="31" t="str">
        <f>"00:00 | "&amp;IF(AND(B8&gt;0,B8&lt;33),"[b]("&amp;B8&amp;") "&amp;A8&amp;" ("&amp;C8&amp;")[/b]",IF(LEN(B8)&gt;0,"("&amp;B8&amp;") "&amp;A8&amp;" ("&amp;C8&amp;")",IF(LEN(C8)&gt;0,A8&amp;" ("&amp;C8&amp;")",A8)))&amp;" vs. "&amp;IF(AND(B9&gt;0,B9&lt;33),"[b]("&amp;B9&amp;") "&amp;A9&amp;" ("&amp;C9&amp;")[/b]",IF(LEN(B9)&gt;0,"("&amp;B9&amp;") "&amp;A9&amp;" ("&amp;C9&amp;")",IF(LEN(C9)&gt;0,A9&amp;" ("&amp;C9&amp;")",A9)))</f>
        <v>00:00 | (ALT) Broseghini (BRA) vs. (ALT) AeronW (ROU)</v>
      </c>
    </row>
    <row r="31" spans="1:17" ht="13.5">
      <c r="A31" s="17"/>
      <c r="B31" s="18"/>
      <c r="C31" s="19"/>
      <c r="E31" s="31"/>
    </row>
    <row r="32" spans="1:17" ht="13.5">
      <c r="A32" s="17"/>
      <c r="B32" s="18"/>
      <c r="C32" s="19"/>
      <c r="E32" s="31" t="str">
        <f>"00:00 | "&amp;IF(AND(B10&gt;0,B10&lt;33),"[b]("&amp;B10&amp;") "&amp;A10&amp;" ("&amp;C10&amp;")[/b]",IF(LEN(B10)&gt;0,"("&amp;B10&amp;") "&amp;A10&amp;" ("&amp;C10&amp;")",IF(LEN(C10)&gt;0,A10&amp;" ("&amp;C10&amp;")",A10)))&amp;" vs. "&amp;IF(AND(B11&gt;0,B11&lt;33),"[b]("&amp;B11&amp;") "&amp;A11&amp;" ("&amp;C11&amp;")[/b]",IF(LEN(B11)&gt;0,"("&amp;B11&amp;") "&amp;A11&amp;" ("&amp;C11&amp;")",IF(LEN(C11)&gt;0,A11&amp;" ("&amp;C11&amp;")",A11)))</f>
        <v>00:00 | [b](3) Matthew2408 (GBR)[/b] vs. pinarodrigues (POR)</v>
      </c>
    </row>
    <row r="33" spans="1:6" ht="13.5">
      <c r="A33" s="32"/>
      <c r="B33" s="33"/>
      <c r="C33" s="34"/>
      <c r="E33" s="31" t="str">
        <f>"00:00 | "&amp;IF(AND(B12&gt;0,B12&lt;33),"[b]("&amp;B12&amp;") "&amp;A12&amp;" ("&amp;C12&amp;")[/b]",IF(LEN(B12)&gt;0,"("&amp;B12&amp;") "&amp;A12&amp;" ("&amp;C12&amp;")",IF(LEN(C12)&gt;0,A12&amp;" ("&amp;C12&amp;")",A12)))&amp;" vs. "&amp;IF(AND(B13&gt;0,B13&lt;33),"[b]("&amp;B13&amp;") "&amp;A13&amp;" ("&amp;C13&amp;")[/b]",IF(LEN(B13)&gt;0,"("&amp;B13&amp;") "&amp;A13&amp;" ("&amp;C13&amp;")",IF(LEN(C13)&gt;0,A13&amp;" ("&amp;C13&amp;")",A13)))</f>
        <v>00:00 | Milton (BRA) vs. [b](7) rneves (BRA)[/b]</v>
      </c>
    </row>
    <row r="34" spans="1:6" ht="13.5">
      <c r="E34" s="31" t="str">
        <f>"00:00 | "&amp;IF(AND(B14&gt;0,B14&lt;33),"[b]("&amp;B14&amp;") "&amp;A14&amp;" ("&amp;C14&amp;")[/b]",IF(LEN(B14)&gt;0,"("&amp;B14&amp;") "&amp;A14&amp;" ("&amp;C14&amp;")",IF(LEN(C14)&gt;0,A14&amp;" ("&amp;C14&amp;")",A14)))&amp;" vs. "&amp;IF(AND(B15&gt;0,B15&lt;33),"[b]("&amp;B15&amp;") "&amp;A15&amp;" ("&amp;C15&amp;")[/b]",IF(LEN(B15)&gt;0,"("&amp;B15&amp;") "&amp;A15&amp;" ("&amp;C15&amp;")",IF(LEN(C15)&gt;0,A15&amp;" ("&amp;C15&amp;")",A15)))</f>
        <v>00:00 | (ALT) Southend Aussies (AUS) vs. Walter Hitzschky (BRA)</v>
      </c>
    </row>
    <row r="35" spans="1:6" ht="13.5">
      <c r="A35" s="26" t="s">
        <v>103</v>
      </c>
      <c r="E35" s="31" t="str">
        <f>"00:00 | "&amp;IF(AND(B16&gt;0,B16&lt;33),"[b]("&amp;B16&amp;") "&amp;A16&amp;" ("&amp;C16&amp;")[/b]",IF(LEN(B16)&gt;0,"("&amp;B16&amp;") "&amp;A16&amp;" ("&amp;C16&amp;")",IF(LEN(C16)&gt;0,A16&amp;" ("&amp;C16&amp;")",A16)))&amp;" vs. "&amp;IF(AND(B17&gt;0,B17&lt;33),"[b]("&amp;B17&amp;") "&amp;A17&amp;" ("&amp;C17&amp;")[/b]",IF(LEN(B17)&gt;0,"("&amp;B17&amp;") "&amp;A17&amp;" ("&amp;C17&amp;")",IF(LEN(C17)&gt;0,A17&amp;" ("&amp;C17&amp;")",A17)))</f>
        <v>00:00 | Exco (CHN) vs. [b](5) theKSHE (POR)[/b]</v>
      </c>
    </row>
    <row r="36" spans="1:6" ht="13.5">
      <c r="B36" s="35" t="s">
        <v>99</v>
      </c>
      <c r="E36" s="31"/>
    </row>
    <row r="37" spans="1:6" ht="13.5">
      <c r="A37" s="28" t="s">
        <v>104</v>
      </c>
      <c r="E37" s="31" t="str">
        <f>"00:00 | "&amp;IF(AND(B18&gt;0,B18&lt;33),"[b]("&amp;B18&amp;") "&amp;A18&amp;" ("&amp;C18&amp;")[/b]",IF(LEN(B18)&gt;0,"("&amp;B18&amp;") "&amp;A18&amp;" ("&amp;C18&amp;")",IF(LEN(C18)&gt;0,A18&amp;" ("&amp;C18&amp;")",A18)))&amp;" vs. "&amp;IF(AND(B19&gt;0,B19&lt;33),"[b]("&amp;B19&amp;") "&amp;A19&amp;" ("&amp;C19&amp;")[/b]",IF(LEN(B19)&gt;0,"("&amp;B19&amp;") "&amp;A19&amp;" ("&amp;C19&amp;")",IF(LEN(C19)&gt;0,A19&amp;" ("&amp;C19&amp;")",A19)))</f>
        <v xml:space="preserve">00:00 |  vs. </v>
      </c>
    </row>
    <row r="38" spans="1:6" ht="13.5">
      <c r="E38" s="31" t="str">
        <f>"00:00 | "&amp;IF(AND(B20&gt;0,B20&lt;33),"[b]("&amp;B20&amp;") "&amp;A20&amp;" ("&amp;C20&amp;")[/b]",IF(LEN(B20)&gt;0,"("&amp;B20&amp;") "&amp;A20&amp;" ("&amp;C20&amp;")",IF(LEN(C20)&gt;0,A20&amp;" ("&amp;C20&amp;")",A20)))&amp;" vs. "&amp;IF(AND(B21&gt;0,B21&lt;33),"[b]("&amp;B21&amp;") "&amp;A21&amp;" ("&amp;C21&amp;")[/b]",IF(LEN(B21)&gt;0,"("&amp;B21&amp;") "&amp;A21&amp;" ("&amp;C21&amp;")",IF(LEN(C21)&gt;0,A21&amp;" ("&amp;C21&amp;")",A21)))</f>
        <v xml:space="preserve">00:00 |  vs. </v>
      </c>
    </row>
    <row r="39" spans="1:6" ht="13.5">
      <c r="A39" s="26" t="s">
        <v>105</v>
      </c>
      <c r="E39" s="31" t="str">
        <f>"00:00 | "&amp;IF(AND(B22&gt;0,B22&lt;33),"[b]("&amp;B22&amp;") "&amp;A22&amp;" ("&amp;C22&amp;")[/b]",IF(LEN(B22)&gt;0,"("&amp;B22&amp;") "&amp;A22&amp;" ("&amp;C22&amp;")",IF(LEN(C22)&gt;0,A22&amp;" ("&amp;C22&amp;")",A22)))&amp;" vs. "&amp;IF(AND(B23&gt;0,B23&lt;33),"[b]("&amp;B23&amp;") "&amp;A23&amp;" ("&amp;C23&amp;")[/b]",IF(LEN(B23)&gt;0,"("&amp;B23&amp;") "&amp;A23&amp;" ("&amp;C23&amp;")",IF(LEN(C23)&gt;0,A23&amp;" ("&amp;C23&amp;")",A23)))</f>
        <v xml:space="preserve">00:00 |  vs. </v>
      </c>
    </row>
    <row r="40" spans="1:6" ht="13.5">
      <c r="B40" s="35" t="s">
        <v>99</v>
      </c>
      <c r="E40" s="31" t="str">
        <f>"00:00 | "&amp;IF(AND(B24&gt;0,B24&lt;33),"[b]("&amp;B24&amp;") "&amp;A24&amp;" ("&amp;C24&amp;")[/b]",IF(LEN(B24)&gt;0,"("&amp;B24&amp;") "&amp;A24&amp;" ("&amp;C24&amp;")",IF(LEN(C24)&gt;0,A24&amp;" ("&amp;C24&amp;")",A24)))&amp;" vs. "&amp;IF(AND(B25&gt;0,B25&lt;33),"[b]("&amp;B25&amp;") "&amp;A25&amp;" ("&amp;C25&amp;")[/b]",IF(LEN(B25)&gt;0,"("&amp;B25&amp;") "&amp;A25&amp;" ("&amp;C25&amp;")",IF(LEN(C25)&gt;0,A25&amp;" ("&amp;C25&amp;")",A25)))</f>
        <v xml:space="preserve">00:00 |  vs. </v>
      </c>
    </row>
    <row r="41" spans="1:6" ht="13.5">
      <c r="E41" s="31"/>
    </row>
    <row r="42" spans="1:6" ht="13.5">
      <c r="E42" s="31" t="str">
        <f>"00:00 | "&amp;IF(AND(B26&gt;0,B26&lt;33),"[b]("&amp;B26&amp;") "&amp;A26&amp;" ("&amp;C26&amp;")[/b]",IF(LEN(B26)&gt;0,"("&amp;B26&amp;") "&amp;A26&amp;" ("&amp;C26&amp;")",IF(LEN(C26)&gt;0,A26&amp;" ("&amp;C26&amp;")",A26)))&amp;" vs. "&amp;IF(AND(B27&gt;0,B27&lt;33),"[b]("&amp;B27&amp;") "&amp;A27&amp;" ("&amp;C27&amp;")[/b]",IF(LEN(B27)&gt;0,"("&amp;B27&amp;") "&amp;A27&amp;" ("&amp;C27&amp;")",IF(LEN(C27)&gt;0,A27&amp;" ("&amp;C27&amp;")",A27)))</f>
        <v xml:space="preserve">00:00 |  vs. </v>
      </c>
    </row>
    <row r="43" spans="1:6" ht="13.5">
      <c r="E43" s="31" t="str">
        <f>"00:00 | "&amp;IF(AND(B28&gt;0,B28&lt;33),"[b]("&amp;B28&amp;") "&amp;A28&amp;" ("&amp;C28&amp;")[/b]",IF(LEN(B28)&gt;0,"("&amp;B28&amp;") "&amp;A28&amp;" ("&amp;C28&amp;")",IF(LEN(C28)&gt;0,A28&amp;" ("&amp;C28&amp;")",A28)))&amp;" vs. "&amp;IF(AND(B29&gt;0,B29&lt;33),"[b]("&amp;B29&amp;") "&amp;A29&amp;" ("&amp;C29&amp;")[/b]",IF(LEN(B29)&gt;0,"("&amp;B29&amp;") "&amp;A29&amp;" ("&amp;C29&amp;")",IF(LEN(C29)&gt;0,A29&amp;" ("&amp;C29&amp;")",A29)))</f>
        <v xml:space="preserve">00:00 |  vs. </v>
      </c>
    </row>
    <row r="44" spans="1:6" ht="13.5">
      <c r="E44" s="31" t="str">
        <f>"00:00 | "&amp;IF(AND(B30&gt;0,B30&lt;33),"[b]("&amp;B30&amp;") "&amp;A30&amp;" ("&amp;C30&amp;")[/b]",IF(LEN(B30)&gt;0,"("&amp;B30&amp;") "&amp;A30&amp;" ("&amp;C30&amp;")",IF(LEN(C30)&gt;0,A30&amp;" ("&amp;C30&amp;")",A30)))&amp;" vs. "&amp;IF(AND(B31&gt;0,B31&lt;33),"[b]("&amp;B31&amp;") "&amp;A31&amp;" ("&amp;C31&amp;")[/b]",IF(LEN(B31)&gt;0,"("&amp;B31&amp;") "&amp;A31&amp;" ("&amp;C31&amp;")",IF(LEN(C31)&gt;0,A31&amp;" ("&amp;C31&amp;")",A31)))</f>
        <v xml:space="preserve">00:00 |  vs. </v>
      </c>
    </row>
    <row r="45" spans="1:6" ht="13.5">
      <c r="E45" s="31" t="str">
        <f>"00:00 | "&amp;IF(AND(B32&gt;0,B32&lt;33),"[b]("&amp;B32&amp;") "&amp;A32&amp;" ("&amp;C32&amp;")[/b]",IF(LEN(B32)&gt;0,"("&amp;B32&amp;") "&amp;A32&amp;" ("&amp;C32&amp;")",IF(LEN(C32)&gt;0,A32&amp;" ("&amp;C32&amp;")",A32)))&amp;" vs. "&amp;IF(AND(B33&gt;0,B33&lt;33),"[b]("&amp;B33&amp;") "&amp;A33&amp;" ("&amp;C33&amp;")[/b]",IF(LEN(B33)&gt;0,"("&amp;B33&amp;") "&amp;A33&amp;" ("&amp;C33&amp;")",IF(LEN(C33)&gt;0,A33&amp;" ("&amp;C33&amp;")",A33)))</f>
        <v xml:space="preserve">00:00 |  vs. </v>
      </c>
    </row>
    <row r="46" spans="1:6" ht="13.5">
      <c r="E46" s="31" t="s">
        <v>106</v>
      </c>
    </row>
    <row r="47" spans="1:6">
      <c r="A47" s="30" t="s">
        <v>107</v>
      </c>
    </row>
    <row r="48" spans="1:6" ht="15">
      <c r="A48" s="36" t="s">
        <v>102</v>
      </c>
      <c r="F48" s="37"/>
    </row>
    <row r="49" spans="1:6">
      <c r="A49" s="36" t="str">
        <f>Diffs!T23</f>
        <v xml:space="preserve">00:00 | [b](1) Sauletekis (POR)[/b] vs. [b]gabrieltufao (BRA)[/b] - Missing picks from gabrieltufao </v>
      </c>
    </row>
    <row r="50" spans="1:6" ht="15">
      <c r="A50" s="36" t="str">
        <f ca="1">Diffs!T59</f>
        <v>00:00 | [b]Lazyking (USA)[/b] vs. [b](6) Daniel_amr (PER)[/b] - Ghem, Laranja, Lindell, matos, Fligia vs. Travaglia, Gaio, Duran, collinari, santos</v>
      </c>
      <c r="F50" s="37"/>
    </row>
    <row r="51" spans="1:6">
      <c r="A51" s="36" t="str">
        <f>Diffs!T95</f>
        <v xml:space="preserve">00:00 | [b](2) geangr (BRA)[/b] vs. [b]Ramsay (POR)[/b] - Missing picks from Ramsay </v>
      </c>
    </row>
    <row r="52" spans="1:6">
      <c r="A52" s="36" t="str">
        <f ca="1">Diffs!T131</f>
        <v xml:space="preserve">00:00 | [b](ALT) Broseghini (BRA)[/b] vs. [b](ALT) AeronW (ROU)[/b] - Laranja, collinari, trinker, blumenberg vs. Gaio, matos, giner, santos SR Differences: Ghem 2-0 v , Machado 2-0 v  - , Junqueira 2-0 v , Laranja 2-0 vs. Gaio , PODLIPBIK-CASTILLO 2-0 v , Lindell 2-0 v , Michon 2-0 v , gonzalez 2-0 v , pereira 2-0 v , collinari 2-0 vs. matos , trinker 2-0 vs. giner , galdon 2-0 v , lobkov 2-0 v , santos 2-1 v , blumenberg 2-0 vs. santos , lojda 2-0 v </v>
      </c>
    </row>
    <row r="53" spans="1:6">
      <c r="A53" s="36"/>
    </row>
    <row r="54" spans="1:6">
      <c r="A54" s="36" t="str">
        <f>Diffs!T167</f>
        <v xml:space="preserve">00:00 | [b](3) Matthew2408 (GBR)[/b] vs. [b]pinarodrigues (POR)[/b] - Missing picks from pinarodrigues </v>
      </c>
    </row>
    <row r="55" spans="1:6">
      <c r="A55" s="36" t="str">
        <f ca="1">Diffs!T203</f>
        <v>00:00 | [b]Milton (BRA)[/b] vs. [b](7) rneves (BRA)[/b] - Lindell, matos, turini vs. Duran, collinari, galdon</v>
      </c>
    </row>
    <row r="56" spans="1:6">
      <c r="A56" s="36" t="str">
        <f ca="1">Diffs!T239</f>
        <v>00:00 | [b](ALT) Southend Aussies (AUS)[/b] vs. [b]Walter Hitzschky (BRA)[/b] - Gaio, collinari, santos vs. Laranja, matos, Fligia</v>
      </c>
    </row>
    <row r="57" spans="1:6" ht="15">
      <c r="A57" s="36" t="str">
        <f>Diffs!T275</f>
        <v xml:space="preserve">00:00 | [b]Exco (CHN)[/b] vs. [b](5) theKSHE (POR)[/b] - Missing picks from Exco </v>
      </c>
      <c r="F57" s="37"/>
    </row>
    <row r="58" spans="1:6">
      <c r="A58" s="36"/>
    </row>
    <row r="59" spans="1:6" ht="15">
      <c r="A59" s="36" t="e">
        <f>Diffs!T311</f>
        <v>#N/A</v>
      </c>
      <c r="F59" s="37"/>
    </row>
    <row r="60" spans="1:6">
      <c r="A60" s="36" t="e">
        <f>Diffs!T347</f>
        <v>#N/A</v>
      </c>
    </row>
    <row r="61" spans="1:6">
      <c r="A61" s="36" t="e">
        <f>Diffs!T383</f>
        <v>#N/A</v>
      </c>
    </row>
    <row r="62" spans="1:6">
      <c r="A62" s="36" t="e">
        <f>Diffs!T419</f>
        <v>#N/A</v>
      </c>
    </row>
    <row r="63" spans="1:6">
      <c r="A63" s="36"/>
    </row>
    <row r="64" spans="1:6">
      <c r="A64" s="36" t="e">
        <f>Diffs!T455</f>
        <v>#N/A</v>
      </c>
    </row>
    <row r="65" spans="1:13">
      <c r="A65" s="36" t="e">
        <f>Diffs!T491</f>
        <v>#N/A</v>
      </c>
    </row>
    <row r="66" spans="1:13" ht="15">
      <c r="A66" s="36" t="e">
        <f>Diffs!T527</f>
        <v>#N/A</v>
      </c>
      <c r="F66" s="37"/>
    </row>
    <row r="67" spans="1:13">
      <c r="A67" s="36" t="e">
        <f>Diffs!T563</f>
        <v>#N/A</v>
      </c>
    </row>
    <row r="68" spans="1:13" ht="15">
      <c r="A68" s="36" t="s">
        <v>106</v>
      </c>
      <c r="F68" s="37"/>
    </row>
    <row r="70" spans="1:13">
      <c r="A70" s="30" t="s">
        <v>108</v>
      </c>
    </row>
    <row r="71" spans="1:13" ht="15">
      <c r="A71" s="38" t="s">
        <v>89</v>
      </c>
      <c r="B71" s="38" t="s">
        <v>109</v>
      </c>
      <c r="K71" s="30" t="s">
        <v>110</v>
      </c>
      <c r="L71" s="39"/>
      <c r="M71" s="39"/>
    </row>
    <row r="72" spans="1:13">
      <c r="B72" s="40" t="s">
        <v>102</v>
      </c>
    </row>
    <row r="73" spans="1:13" ht="14.25">
      <c r="A73" s="41" t="str">
        <f>Diffs!T24</f>
        <v>No decision yet</v>
      </c>
      <c r="B73" s="40" t="str">
        <f>Diffs!U24</f>
        <v>00:00 | [b](1) Sauletekis (POR)[/b] vs. gabrieltufao (BRA) #SRs: 0-0</v>
      </c>
      <c r="K73" s="42" t="str">
        <f>IF(OR(Diffs!T24="No decision yet",Diffs!T24="Tied; see PTS"),"",Diffs!T24)</f>
        <v/>
      </c>
      <c r="L73" s="42" t="str">
        <f t="shared" ref="L73:L88" si="3">IF(LEN(K73)&gt;0,VLOOKUP(K73,$A$2:$B$33,2,0),"")</f>
        <v/>
      </c>
      <c r="M73" s="42" t="str">
        <f t="shared" ref="M73:M88" si="4">IF(LEN(K73)&gt;0,VLOOKUP(K73,$A$2:$C$33,3,0),"")</f>
        <v/>
      </c>
    </row>
    <row r="74" spans="1:13" ht="14.25">
      <c r="A74" s="41" t="str">
        <f>Diffs!T60</f>
        <v>No decision yet</v>
      </c>
      <c r="B74" s="40" t="str">
        <f>Diffs!U60</f>
        <v>00:00 | Lazyking (USA) vs. [b](6) Daniel_amr (PER)[/b] #SRs: 0-0</v>
      </c>
      <c r="K74" s="42" t="str">
        <f>IF(OR(Diffs!T60="No decision yet",Diffs!T60="Tied; see PTS"),"",Diffs!T60)</f>
        <v/>
      </c>
      <c r="L74" s="42" t="str">
        <f t="shared" si="3"/>
        <v/>
      </c>
      <c r="M74" s="42" t="str">
        <f t="shared" si="4"/>
        <v/>
      </c>
    </row>
    <row r="75" spans="1:13" ht="15">
      <c r="A75" s="41" t="str">
        <f>Diffs!T96</f>
        <v>No decision yet</v>
      </c>
      <c r="B75" s="40" t="str">
        <f>Diffs!U96</f>
        <v>00:00 | [b](2) geangr (BRA)[/b] vs. Ramsay (POR) #SRs: 0-0</v>
      </c>
      <c r="F75" s="37"/>
      <c r="K75" s="42" t="str">
        <f>IF(OR(Diffs!T96="No decision yet",Diffs!T96="Tied; see PTS"),"",Diffs!T96)</f>
        <v/>
      </c>
      <c r="L75" s="42" t="str">
        <f t="shared" si="3"/>
        <v/>
      </c>
      <c r="M75" s="42" t="str">
        <f t="shared" si="4"/>
        <v/>
      </c>
    </row>
    <row r="76" spans="1:13" ht="14.25">
      <c r="A76" s="41" t="str">
        <f>Diffs!T132</f>
        <v>No decision yet</v>
      </c>
      <c r="B76" s="40" t="str">
        <f>Diffs!U132</f>
        <v>00:00 | (ALT) Broseghini (BRA) vs. (ALT) AeronW (ROU) #SRs: 0-0</v>
      </c>
      <c r="K76" s="42" t="str">
        <f>IF(OR(Diffs!T132="No decision yet",Diffs!T132="Tied; see PTS"),"",Diffs!T132)</f>
        <v/>
      </c>
      <c r="L76" s="42" t="str">
        <f t="shared" si="3"/>
        <v/>
      </c>
      <c r="M76" s="42" t="str">
        <f t="shared" si="4"/>
        <v/>
      </c>
    </row>
    <row r="77" spans="1:13" ht="14.25">
      <c r="A77" s="41"/>
      <c r="B77" s="40"/>
      <c r="K77" s="42" t="str">
        <f>IF(OR(Diffs!T168="No decision yet",Diffs!T168="Tied; see PTS"),"",Diffs!T168)</f>
        <v/>
      </c>
      <c r="L77" s="42" t="str">
        <f t="shared" si="3"/>
        <v/>
      </c>
      <c r="M77" s="42" t="str">
        <f t="shared" si="4"/>
        <v/>
      </c>
    </row>
    <row r="78" spans="1:13" ht="14.25">
      <c r="A78" s="41" t="str">
        <f>Diffs!T168</f>
        <v>No decision yet</v>
      </c>
      <c r="B78" s="40" t="str">
        <f>Diffs!U168</f>
        <v>00:00 | [b](3) Matthew2408 (GBR)[/b] vs. pinarodrigues (POR) #SRs: 0-0</v>
      </c>
      <c r="K78" s="42" t="str">
        <f>IF(OR(Diffs!T204="No decision yet",Diffs!T204="Tied; see PTS"),"",Diffs!T204)</f>
        <v/>
      </c>
      <c r="L78" s="42" t="str">
        <f t="shared" si="3"/>
        <v/>
      </c>
      <c r="M78" s="42" t="str">
        <f t="shared" si="4"/>
        <v/>
      </c>
    </row>
    <row r="79" spans="1:13" ht="14.25">
      <c r="A79" s="41" t="str">
        <f>Diffs!T204</f>
        <v>No decision yet</v>
      </c>
      <c r="B79" s="40" t="str">
        <f>Diffs!U204</f>
        <v>00:00 | Milton (BRA) vs. [b](7) rneves (BRA)[/b] #SRs: 0-0</v>
      </c>
      <c r="K79" s="42" t="str">
        <f>IF(OR(Diffs!T240="No decision yet",Diffs!T240="Tied; see PTS"),"",Diffs!T240)</f>
        <v/>
      </c>
      <c r="L79" s="42" t="str">
        <f t="shared" si="3"/>
        <v/>
      </c>
      <c r="M79" s="42" t="str">
        <f t="shared" si="4"/>
        <v/>
      </c>
    </row>
    <row r="80" spans="1:13" ht="14.25">
      <c r="A80" s="41" t="str">
        <f>Diffs!T240</f>
        <v>No decision yet</v>
      </c>
      <c r="B80" s="40" t="str">
        <f>Diffs!U240</f>
        <v>00:00 | (ALT) Southend Aussies (AUS) vs. Walter Hitzschky (BRA) #SRs: 0-0</v>
      </c>
      <c r="K80" s="42" t="str">
        <f>IF(OR(Diffs!T276="No decision yet",Diffs!T276="Tied; see PTS"),"",Diffs!T276)</f>
        <v/>
      </c>
      <c r="L80" s="42" t="str">
        <f t="shared" si="3"/>
        <v/>
      </c>
      <c r="M80" s="42" t="str">
        <f t="shared" si="4"/>
        <v/>
      </c>
    </row>
    <row r="81" spans="1:17" ht="15">
      <c r="A81" s="41" t="str">
        <f>Diffs!T276</f>
        <v>No decision yet</v>
      </c>
      <c r="B81" s="40" t="str">
        <f>Diffs!U276</f>
        <v>00:00 | Exco (CHN) vs. [b](5) theKSHE (POR)[/b] #SRs: 0-0</v>
      </c>
      <c r="F81" s="37"/>
      <c r="K81" s="42" t="str">
        <f>IF(OR(Diffs!T312="No decision yet",Diffs!T312="Tied; see PTS"),"",Diffs!T312)</f>
        <v/>
      </c>
      <c r="L81" s="42" t="str">
        <f t="shared" si="3"/>
        <v/>
      </c>
      <c r="M81" s="42" t="str">
        <f t="shared" si="4"/>
        <v/>
      </c>
    </row>
    <row r="82" spans="1:17" ht="14.25">
      <c r="A82" s="41"/>
      <c r="B82" s="40"/>
      <c r="K82" s="42" t="str">
        <f>IF(OR(Diffs!T348="No decision yet",Diffs!T348="Tied; see PTS"),"",Diffs!T348)</f>
        <v/>
      </c>
      <c r="L82" s="42" t="str">
        <f t="shared" si="3"/>
        <v/>
      </c>
      <c r="M82" s="42" t="str">
        <f t="shared" si="4"/>
        <v/>
      </c>
    </row>
    <row r="83" spans="1:17" ht="14.25">
      <c r="A83" s="41" t="str">
        <f>Diffs!T312</f>
        <v>No decision yet</v>
      </c>
      <c r="B83" s="40" t="e">
        <f>Diffs!U312</f>
        <v>#N/A</v>
      </c>
      <c r="K83" s="42" t="str">
        <f>IF(OR(Diffs!T384="No decision yet",Diffs!T384="Tied; see PTS"),"",Diffs!T384)</f>
        <v/>
      </c>
      <c r="L83" s="42" t="str">
        <f t="shared" si="3"/>
        <v/>
      </c>
      <c r="M83" s="42" t="str">
        <f t="shared" si="4"/>
        <v/>
      </c>
    </row>
    <row r="84" spans="1:17" ht="14.25">
      <c r="A84" s="41" t="str">
        <f>Diffs!T348</f>
        <v>No decision yet</v>
      </c>
      <c r="B84" s="40" t="e">
        <f>Diffs!U348</f>
        <v>#N/A</v>
      </c>
      <c r="K84" s="42" t="str">
        <f>IF(OR(Diffs!T420="No decision yet",Diffs!T420="Tied; see PTS"),"",Diffs!T420)</f>
        <v/>
      </c>
      <c r="L84" s="42" t="str">
        <f t="shared" si="3"/>
        <v/>
      </c>
      <c r="M84" s="42" t="str">
        <f t="shared" si="4"/>
        <v/>
      </c>
    </row>
    <row r="85" spans="1:17" ht="14.25">
      <c r="A85" s="41" t="str">
        <f>Diffs!T384</f>
        <v>No decision yet</v>
      </c>
      <c r="B85" s="40" t="e">
        <f>Diffs!U384</f>
        <v>#N/A</v>
      </c>
      <c r="K85" s="42" t="str">
        <f>IF(OR(Diffs!T456="No decision yet",Diffs!T456="Tied; see PTS"),"",Diffs!T456)</f>
        <v/>
      </c>
      <c r="L85" s="42" t="str">
        <f t="shared" si="3"/>
        <v/>
      </c>
      <c r="M85" s="42" t="str">
        <f t="shared" si="4"/>
        <v/>
      </c>
    </row>
    <row r="86" spans="1:17" ht="14.25">
      <c r="A86" s="41" t="str">
        <f>Diffs!T420</f>
        <v>No decision yet</v>
      </c>
      <c r="B86" s="40" t="e">
        <f>Diffs!U420</f>
        <v>#N/A</v>
      </c>
      <c r="K86" s="42" t="str">
        <f>IF(OR(Diffs!T492="No decision yet",Diffs!T492="Tied; see PTS"),"",Diffs!T492)</f>
        <v/>
      </c>
      <c r="L86" s="42" t="str">
        <f t="shared" si="3"/>
        <v/>
      </c>
      <c r="M86" s="42" t="str">
        <f t="shared" si="4"/>
        <v/>
      </c>
    </row>
    <row r="87" spans="1:17" ht="14.25">
      <c r="A87" s="41"/>
      <c r="B87" s="40"/>
      <c r="K87" s="42" t="str">
        <f>IF(OR(Diffs!T528="No decision yet",Diffs!T528="Tied; see PTS"),"",Diffs!T528)</f>
        <v/>
      </c>
      <c r="L87" s="42" t="str">
        <f t="shared" si="3"/>
        <v/>
      </c>
      <c r="M87" s="42" t="str">
        <f t="shared" si="4"/>
        <v/>
      </c>
    </row>
    <row r="88" spans="1:17" ht="14.25">
      <c r="A88" s="41" t="str">
        <f>Diffs!T456</f>
        <v>No decision yet</v>
      </c>
      <c r="B88" s="40" t="e">
        <f>Diffs!U456</f>
        <v>#N/A</v>
      </c>
      <c r="K88" s="42" t="str">
        <f>IF(OR(Diffs!T564="No decision yet",Diffs!T564="Tied; see PTS"),"",Diffs!T564)</f>
        <v/>
      </c>
      <c r="L88" s="42" t="str">
        <f t="shared" si="3"/>
        <v/>
      </c>
      <c r="M88" s="42" t="str">
        <f t="shared" si="4"/>
        <v/>
      </c>
    </row>
    <row r="89" spans="1:17">
      <c r="A89" s="41" t="str">
        <f>Diffs!T492</f>
        <v>No decision yet</v>
      </c>
      <c r="B89" s="40" t="e">
        <f>Diffs!U492</f>
        <v>#N/A</v>
      </c>
    </row>
    <row r="90" spans="1:17">
      <c r="A90" s="41" t="str">
        <f>Diffs!T528</f>
        <v>No decision yet</v>
      </c>
      <c r="B90" s="40" t="e">
        <f>Diffs!U528</f>
        <v>#N/A</v>
      </c>
    </row>
    <row r="91" spans="1:17">
      <c r="A91" s="41" t="str">
        <f>Diffs!T564</f>
        <v>No decision yet</v>
      </c>
      <c r="B91" s="40" t="e">
        <f>Diffs!U564</f>
        <v>#N/A</v>
      </c>
    </row>
    <row r="92" spans="1:17">
      <c r="B92" s="40" t="s">
        <v>106</v>
      </c>
    </row>
    <row r="93" spans="1:17">
      <c r="B93" s="43" t="str">
        <f>IF(COUNTIF(Diffs!C10:C600,"=Wrong Pick")&gt;0,"ATTENTION - There's a misspelled last name in one of the picks. Please scan the column C of the Diffs sheet to find it. Fix it in this sheet.","")</f>
        <v/>
      </c>
    </row>
    <row r="94" spans="1:17">
      <c r="A94" s="13"/>
      <c r="B94" s="44" t="str">
        <f>A2</f>
        <v>Sauletekis</v>
      </c>
      <c r="C94" s="44" t="str">
        <f>A3</f>
        <v>gabrieltufao</v>
      </c>
      <c r="D94" s="44" t="str">
        <f>A4</f>
        <v>Lazyking</v>
      </c>
      <c r="E94" s="44" t="str">
        <f>A5</f>
        <v>Daniel_amr</v>
      </c>
      <c r="F94" s="44" t="str">
        <f>A6</f>
        <v>geangr</v>
      </c>
      <c r="G94" s="44" t="str">
        <f>A7</f>
        <v>Ramsay</v>
      </c>
      <c r="H94" s="44" t="str">
        <f>A8</f>
        <v>Broseghini</v>
      </c>
      <c r="I94" s="44" t="str">
        <f>A9</f>
        <v>AeronW</v>
      </c>
      <c r="J94" s="44" t="str">
        <f>A10</f>
        <v>Matthew2408</v>
      </c>
      <c r="K94" s="44" t="str">
        <f>A11</f>
        <v>pinarodrigues</v>
      </c>
      <c r="L94" s="44" t="str">
        <f>A12</f>
        <v>Milton</v>
      </c>
      <c r="M94" s="44" t="str">
        <f>A13</f>
        <v>rneves</v>
      </c>
      <c r="N94" s="44" t="str">
        <f>A14</f>
        <v>Southend Aussies</v>
      </c>
      <c r="O94" s="44" t="str">
        <f>A15</f>
        <v>Walter Hitzschky</v>
      </c>
      <c r="P94" s="44" t="str">
        <f>A16</f>
        <v>Exco</v>
      </c>
      <c r="Q94" s="44" t="str">
        <f>A17</f>
        <v>theKSHE</v>
      </c>
    </row>
    <row r="95" spans="1:17">
      <c r="A95" s="5">
        <v>1</v>
      </c>
      <c r="B95" s="111" t="s">
        <v>267</v>
      </c>
      <c r="C95" s="45"/>
      <c r="D95" s="111" t="s">
        <v>251</v>
      </c>
      <c r="E95" s="111" t="s">
        <v>298</v>
      </c>
      <c r="F95" s="111" t="s">
        <v>235</v>
      </c>
      <c r="G95" s="45"/>
      <c r="H95" s="111" t="s">
        <v>365</v>
      </c>
      <c r="I95" s="111" t="s">
        <v>174</v>
      </c>
      <c r="J95" s="111" t="s">
        <v>319</v>
      </c>
      <c r="K95" s="45"/>
      <c r="L95" s="111" t="s">
        <v>205</v>
      </c>
      <c r="M95" s="111" t="s">
        <v>220</v>
      </c>
      <c r="N95" s="111" t="s">
        <v>348</v>
      </c>
      <c r="O95" s="111" t="s">
        <v>283</v>
      </c>
      <c r="P95" s="45"/>
      <c r="Q95" s="111" t="s">
        <v>318</v>
      </c>
    </row>
    <row r="96" spans="1:17">
      <c r="A96" s="5">
        <v>2</v>
      </c>
      <c r="B96" s="111" t="s">
        <v>268</v>
      </c>
      <c r="C96" s="45"/>
      <c r="D96" s="111" t="s">
        <v>252</v>
      </c>
      <c r="E96" s="111" t="s">
        <v>299</v>
      </c>
      <c r="F96" s="111" t="s">
        <v>236</v>
      </c>
      <c r="G96" s="45"/>
      <c r="H96" s="111" t="s">
        <v>284</v>
      </c>
      <c r="I96" s="111" t="s">
        <v>313</v>
      </c>
      <c r="J96" s="111" t="s">
        <v>320</v>
      </c>
      <c r="K96" s="45"/>
      <c r="L96" s="111" t="s">
        <v>206</v>
      </c>
      <c r="M96" s="111" t="s">
        <v>221</v>
      </c>
      <c r="N96" s="111" t="s">
        <v>349</v>
      </c>
      <c r="O96" s="111" t="s">
        <v>284</v>
      </c>
      <c r="P96" s="45"/>
      <c r="Q96" s="111" t="s">
        <v>268</v>
      </c>
    </row>
    <row r="97" spans="1:17">
      <c r="A97" s="5">
        <v>3</v>
      </c>
      <c r="B97" s="111" t="s">
        <v>269</v>
      </c>
      <c r="C97" s="45"/>
      <c r="D97" s="111" t="s">
        <v>253</v>
      </c>
      <c r="E97" s="111" t="s">
        <v>300</v>
      </c>
      <c r="F97" s="111" t="s">
        <v>237</v>
      </c>
      <c r="G97" s="45"/>
      <c r="H97" s="111" t="s">
        <v>366</v>
      </c>
      <c r="I97" s="111" t="s">
        <v>314</v>
      </c>
      <c r="J97" s="111" t="s">
        <v>269</v>
      </c>
      <c r="K97" s="45"/>
      <c r="L97" s="111" t="s">
        <v>207</v>
      </c>
      <c r="M97" s="111" t="s">
        <v>222</v>
      </c>
      <c r="N97" s="111" t="s">
        <v>350</v>
      </c>
      <c r="O97" s="111" t="s">
        <v>285</v>
      </c>
      <c r="P97" s="45"/>
      <c r="Q97" s="111" t="s">
        <v>269</v>
      </c>
    </row>
    <row r="98" spans="1:17">
      <c r="A98" s="5">
        <v>4</v>
      </c>
      <c r="B98" s="111" t="s">
        <v>270</v>
      </c>
      <c r="C98" s="45"/>
      <c r="D98" s="111" t="s">
        <v>254</v>
      </c>
      <c r="E98" s="111" t="s">
        <v>301</v>
      </c>
      <c r="F98" s="111" t="s">
        <v>238</v>
      </c>
      <c r="G98" s="45"/>
      <c r="H98" s="111" t="s">
        <v>367</v>
      </c>
      <c r="I98" s="111" t="s">
        <v>315</v>
      </c>
      <c r="J98" s="111" t="s">
        <v>321</v>
      </c>
      <c r="K98" s="45"/>
      <c r="L98" s="111" t="s">
        <v>208</v>
      </c>
      <c r="M98" s="111" t="s">
        <v>223</v>
      </c>
      <c r="N98" s="111" t="s">
        <v>351</v>
      </c>
      <c r="O98" s="111" t="s">
        <v>286</v>
      </c>
      <c r="P98" s="45"/>
      <c r="Q98" s="111" t="s">
        <v>270</v>
      </c>
    </row>
    <row r="99" spans="1:17">
      <c r="A99" s="5">
        <v>5</v>
      </c>
      <c r="B99" s="111" t="s">
        <v>271</v>
      </c>
      <c r="C99" s="45"/>
      <c r="D99" s="111" t="s">
        <v>255</v>
      </c>
      <c r="E99" s="111" t="s">
        <v>302</v>
      </c>
      <c r="F99" s="111" t="s">
        <v>239</v>
      </c>
      <c r="G99" s="45"/>
      <c r="H99" s="111" t="s">
        <v>287</v>
      </c>
      <c r="I99" s="111" t="s">
        <v>364</v>
      </c>
      <c r="J99" s="111" t="s">
        <v>322</v>
      </c>
      <c r="K99" s="45"/>
      <c r="L99" s="111" t="s">
        <v>209</v>
      </c>
      <c r="M99" s="111" t="s">
        <v>224</v>
      </c>
      <c r="N99" s="111" t="s">
        <v>352</v>
      </c>
      <c r="O99" s="111" t="s">
        <v>287</v>
      </c>
      <c r="P99" s="45"/>
      <c r="Q99" s="111" t="s">
        <v>271</v>
      </c>
    </row>
    <row r="100" spans="1:17">
      <c r="A100" s="5">
        <v>6</v>
      </c>
      <c r="B100" s="111" t="s">
        <v>272</v>
      </c>
      <c r="C100" s="45"/>
      <c r="D100" s="111" t="s">
        <v>256</v>
      </c>
      <c r="E100" s="111" t="s">
        <v>303</v>
      </c>
      <c r="F100" s="111" t="s">
        <v>240</v>
      </c>
      <c r="G100" s="45"/>
      <c r="H100" s="111" t="s">
        <v>368</v>
      </c>
      <c r="I100" s="111" t="s">
        <v>316</v>
      </c>
      <c r="J100" s="111" t="s">
        <v>323</v>
      </c>
      <c r="K100" s="45"/>
      <c r="L100" s="111" t="s">
        <v>210</v>
      </c>
      <c r="M100" s="111" t="s">
        <v>225</v>
      </c>
      <c r="N100" s="111" t="s">
        <v>353</v>
      </c>
      <c r="O100" s="111" t="s">
        <v>288</v>
      </c>
      <c r="P100" s="45"/>
      <c r="Q100" s="111" t="s">
        <v>272</v>
      </c>
    </row>
    <row r="101" spans="1:17">
      <c r="A101" s="5">
        <v>7</v>
      </c>
      <c r="B101" s="111" t="s">
        <v>273</v>
      </c>
      <c r="C101" s="45"/>
      <c r="D101" s="111" t="s">
        <v>257</v>
      </c>
      <c r="E101" s="111" t="s">
        <v>304</v>
      </c>
      <c r="F101" s="111" t="s">
        <v>241</v>
      </c>
      <c r="G101" s="45"/>
      <c r="H101" s="111" t="s">
        <v>369</v>
      </c>
      <c r="I101" s="111" t="s">
        <v>317</v>
      </c>
      <c r="J101" s="111" t="s">
        <v>324</v>
      </c>
      <c r="K101" s="45"/>
      <c r="L101" s="111" t="s">
        <v>211</v>
      </c>
      <c r="M101" s="111" t="s">
        <v>226</v>
      </c>
      <c r="N101" s="111" t="s">
        <v>354</v>
      </c>
      <c r="O101" s="111" t="s">
        <v>289</v>
      </c>
      <c r="P101" s="45"/>
      <c r="Q101" s="111" t="s">
        <v>273</v>
      </c>
    </row>
    <row r="102" spans="1:17">
      <c r="A102" s="5">
        <v>8</v>
      </c>
      <c r="B102" s="111" t="s">
        <v>274</v>
      </c>
      <c r="C102" s="45"/>
      <c r="D102" s="111" t="s">
        <v>258</v>
      </c>
      <c r="E102" s="111" t="s">
        <v>305</v>
      </c>
      <c r="F102" s="111" t="s">
        <v>242</v>
      </c>
      <c r="G102" s="45"/>
      <c r="H102" s="111" t="s">
        <v>370</v>
      </c>
      <c r="I102" s="111" t="s">
        <v>189</v>
      </c>
      <c r="J102" s="111" t="s">
        <v>325</v>
      </c>
      <c r="K102" s="45"/>
      <c r="L102" s="111" t="s">
        <v>212</v>
      </c>
      <c r="M102" s="111" t="s">
        <v>227</v>
      </c>
      <c r="N102" s="111" t="s">
        <v>325</v>
      </c>
      <c r="O102" s="111" t="s">
        <v>290</v>
      </c>
      <c r="P102" s="45"/>
      <c r="Q102" s="111" t="s">
        <v>274</v>
      </c>
    </row>
    <row r="103" spans="1:17">
      <c r="A103" s="5">
        <v>9</v>
      </c>
      <c r="B103" s="111" t="s">
        <v>275</v>
      </c>
      <c r="C103" s="45"/>
      <c r="D103" s="111" t="s">
        <v>259</v>
      </c>
      <c r="E103" s="111" t="s">
        <v>306</v>
      </c>
      <c r="F103" s="111" t="s">
        <v>243</v>
      </c>
      <c r="G103" s="45"/>
      <c r="H103" s="111" t="s">
        <v>371</v>
      </c>
      <c r="I103" s="111" t="s">
        <v>190</v>
      </c>
      <c r="J103" s="111" t="s">
        <v>326</v>
      </c>
      <c r="K103" s="45"/>
      <c r="L103" s="111" t="s">
        <v>213</v>
      </c>
      <c r="M103" s="111" t="s">
        <v>228</v>
      </c>
      <c r="N103" s="111" t="s">
        <v>355</v>
      </c>
      <c r="O103" s="111" t="s">
        <v>291</v>
      </c>
      <c r="P103" s="45"/>
      <c r="Q103" s="111" t="s">
        <v>275</v>
      </c>
    </row>
    <row r="104" spans="1:17">
      <c r="A104" s="5">
        <v>10</v>
      </c>
      <c r="B104" s="111" t="s">
        <v>276</v>
      </c>
      <c r="C104" s="45"/>
      <c r="D104" s="111" t="s">
        <v>260</v>
      </c>
      <c r="E104" s="111" t="s">
        <v>307</v>
      </c>
      <c r="F104" s="111" t="s">
        <v>244</v>
      </c>
      <c r="G104" s="45"/>
      <c r="H104" s="111" t="s">
        <v>372</v>
      </c>
      <c r="I104" s="111" t="s">
        <v>192</v>
      </c>
      <c r="J104" s="111" t="s">
        <v>327</v>
      </c>
      <c r="K104" s="45"/>
      <c r="L104" s="111" t="s">
        <v>214</v>
      </c>
      <c r="M104" s="111" t="s">
        <v>229</v>
      </c>
      <c r="N104" s="111" t="s">
        <v>276</v>
      </c>
      <c r="O104" s="111" t="s">
        <v>292</v>
      </c>
      <c r="P104" s="45"/>
      <c r="Q104" s="111" t="s">
        <v>276</v>
      </c>
    </row>
    <row r="105" spans="1:17">
      <c r="A105" s="5">
        <v>11</v>
      </c>
      <c r="B105" s="111" t="s">
        <v>277</v>
      </c>
      <c r="C105" s="45"/>
      <c r="D105" s="111" t="s">
        <v>261</v>
      </c>
      <c r="E105" s="111" t="s">
        <v>308</v>
      </c>
      <c r="F105" s="111" t="s">
        <v>245</v>
      </c>
      <c r="G105" s="45"/>
      <c r="H105" s="111" t="s">
        <v>373</v>
      </c>
      <c r="I105" s="111" t="s">
        <v>194</v>
      </c>
      <c r="J105" s="111" t="s">
        <v>328</v>
      </c>
      <c r="K105" s="45"/>
      <c r="L105" s="111" t="s">
        <v>215</v>
      </c>
      <c r="M105" s="111" t="s">
        <v>230</v>
      </c>
      <c r="N105" s="111" t="s">
        <v>328</v>
      </c>
      <c r="O105" s="111" t="s">
        <v>293</v>
      </c>
      <c r="P105" s="45"/>
      <c r="Q105" s="111" t="s">
        <v>277</v>
      </c>
    </row>
    <row r="106" spans="1:17">
      <c r="A106" s="5">
        <v>12</v>
      </c>
      <c r="B106" s="111" t="s">
        <v>278</v>
      </c>
      <c r="C106" s="45"/>
      <c r="D106" s="111" t="s">
        <v>262</v>
      </c>
      <c r="E106" s="111" t="s">
        <v>309</v>
      </c>
      <c r="F106" s="111" t="s">
        <v>246</v>
      </c>
      <c r="G106" s="45"/>
      <c r="H106" s="111" t="s">
        <v>374</v>
      </c>
      <c r="I106" s="111" t="s">
        <v>197</v>
      </c>
      <c r="J106" s="111" t="s">
        <v>329</v>
      </c>
      <c r="K106" s="45"/>
      <c r="L106" s="111" t="s">
        <v>216</v>
      </c>
      <c r="M106" s="111" t="s">
        <v>231</v>
      </c>
      <c r="N106" s="111" t="s">
        <v>356</v>
      </c>
      <c r="O106" s="111" t="s">
        <v>294</v>
      </c>
      <c r="P106" s="45"/>
      <c r="Q106" s="111" t="s">
        <v>278</v>
      </c>
    </row>
    <row r="107" spans="1:17">
      <c r="A107" s="5">
        <v>13</v>
      </c>
      <c r="B107" s="111" t="s">
        <v>279</v>
      </c>
      <c r="C107" s="45"/>
      <c r="D107" s="111" t="s">
        <v>263</v>
      </c>
      <c r="E107" s="111" t="s">
        <v>310</v>
      </c>
      <c r="F107" s="111" t="s">
        <v>247</v>
      </c>
      <c r="G107" s="45"/>
      <c r="H107" s="111" t="s">
        <v>375</v>
      </c>
      <c r="I107" s="111" t="s">
        <v>199</v>
      </c>
      <c r="J107" s="111" t="s">
        <v>330</v>
      </c>
      <c r="K107" s="45"/>
      <c r="L107" s="111" t="s">
        <v>217</v>
      </c>
      <c r="M107" s="111" t="s">
        <v>232</v>
      </c>
      <c r="N107" s="111" t="s">
        <v>357</v>
      </c>
      <c r="O107" s="111" t="s">
        <v>295</v>
      </c>
      <c r="P107" s="45"/>
      <c r="Q107" s="111" t="s">
        <v>279</v>
      </c>
    </row>
    <row r="108" spans="1:17">
      <c r="A108" s="5">
        <v>14</v>
      </c>
      <c r="B108" s="111" t="s">
        <v>280</v>
      </c>
      <c r="C108" s="45"/>
      <c r="D108" s="111" t="s">
        <v>264</v>
      </c>
      <c r="E108" s="111" t="s">
        <v>311</v>
      </c>
      <c r="F108" s="111" t="s">
        <v>248</v>
      </c>
      <c r="G108" s="45"/>
      <c r="H108" s="111" t="s">
        <v>376</v>
      </c>
      <c r="I108" s="111" t="s">
        <v>200</v>
      </c>
      <c r="J108" s="111" t="s">
        <v>280</v>
      </c>
      <c r="K108" s="45"/>
      <c r="L108" s="111" t="s">
        <v>218</v>
      </c>
      <c r="M108" s="111" t="s">
        <v>234</v>
      </c>
      <c r="N108" s="111" t="s">
        <v>358</v>
      </c>
      <c r="O108" s="111" t="s">
        <v>264</v>
      </c>
      <c r="P108" s="45"/>
      <c r="Q108" s="111" t="s">
        <v>280</v>
      </c>
    </row>
    <row r="109" spans="1:17">
      <c r="A109" s="5">
        <v>15</v>
      </c>
      <c r="B109" s="111" t="s">
        <v>281</v>
      </c>
      <c r="C109" s="45"/>
      <c r="D109" s="111" t="s">
        <v>265</v>
      </c>
      <c r="E109" s="111" t="s">
        <v>265</v>
      </c>
      <c r="F109" s="111" t="s">
        <v>249</v>
      </c>
      <c r="G109" s="45"/>
      <c r="H109" s="111" t="s">
        <v>377</v>
      </c>
      <c r="I109" s="111" t="s">
        <v>200</v>
      </c>
      <c r="J109" s="111" t="s">
        <v>280</v>
      </c>
      <c r="K109" s="45"/>
      <c r="L109" s="111" t="s">
        <v>218</v>
      </c>
      <c r="M109" s="111" t="s">
        <v>234</v>
      </c>
      <c r="N109" s="111" t="s">
        <v>359</v>
      </c>
      <c r="O109" s="111" t="s">
        <v>296</v>
      </c>
      <c r="P109" s="45"/>
      <c r="Q109" s="111" t="s">
        <v>281</v>
      </c>
    </row>
    <row r="110" spans="1:17">
      <c r="A110" s="5">
        <v>16</v>
      </c>
      <c r="B110" s="111" t="s">
        <v>282</v>
      </c>
      <c r="C110" s="45"/>
      <c r="D110" s="111" t="s">
        <v>266</v>
      </c>
      <c r="E110" s="111" t="s">
        <v>312</v>
      </c>
      <c r="F110" s="111" t="s">
        <v>250</v>
      </c>
      <c r="G110" s="45"/>
      <c r="H110" s="111" t="s">
        <v>297</v>
      </c>
      <c r="I110" s="111" t="s">
        <v>203</v>
      </c>
      <c r="J110" s="111" t="s">
        <v>331</v>
      </c>
      <c r="K110" s="45"/>
      <c r="L110" s="111" t="s">
        <v>219</v>
      </c>
      <c r="M110" s="111" t="s">
        <v>233</v>
      </c>
      <c r="N110" s="111" t="s">
        <v>360</v>
      </c>
      <c r="O110" s="111" t="s">
        <v>297</v>
      </c>
      <c r="P110" s="45"/>
      <c r="Q110" s="111" t="s">
        <v>282</v>
      </c>
    </row>
    <row r="111" spans="1:17">
      <c r="B111" s="43" t="str">
        <f>IF(COUNTIF(Diffs!C10:C600,"=Wrong Pick")&gt;0,"ATTENTION - There's a misspelled last name in one of the picks. Please scan the column C of the Diffs sheet to find it. Fix it in this sheet.","")</f>
        <v/>
      </c>
    </row>
    <row r="112" spans="1:17">
      <c r="B112" s="44">
        <f>A18</f>
        <v>0</v>
      </c>
      <c r="C112" s="44">
        <f>A19</f>
        <v>0</v>
      </c>
      <c r="D112" s="44">
        <f>A20</f>
        <v>0</v>
      </c>
      <c r="E112" s="44">
        <f>A21</f>
        <v>0</v>
      </c>
      <c r="F112" s="44">
        <f>A22</f>
        <v>0</v>
      </c>
      <c r="G112" s="44">
        <f>A23</f>
        <v>0</v>
      </c>
      <c r="H112" s="44">
        <f>A24</f>
        <v>0</v>
      </c>
      <c r="I112" s="44">
        <f>A25</f>
        <v>0</v>
      </c>
      <c r="J112" s="44">
        <f>A26</f>
        <v>0</v>
      </c>
      <c r="K112" s="44">
        <f>A27</f>
        <v>0</v>
      </c>
      <c r="L112" s="44">
        <f>A28</f>
        <v>0</v>
      </c>
      <c r="M112" s="44">
        <f>A29</f>
        <v>0</v>
      </c>
      <c r="N112" s="44">
        <f>A30</f>
        <v>0</v>
      </c>
      <c r="O112" s="44">
        <f>A31</f>
        <v>0</v>
      </c>
      <c r="P112" s="44">
        <f>A32</f>
        <v>0</v>
      </c>
      <c r="Q112" s="44">
        <f>A33</f>
        <v>0</v>
      </c>
    </row>
    <row r="113" spans="1:17">
      <c r="A113" s="5">
        <v>1</v>
      </c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</row>
    <row r="114" spans="1:17">
      <c r="A114" s="5">
        <v>2</v>
      </c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</row>
    <row r="115" spans="1:17">
      <c r="A115" s="5">
        <v>3</v>
      </c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</row>
    <row r="116" spans="1:17">
      <c r="A116" s="5">
        <v>4</v>
      </c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</row>
    <row r="117" spans="1:17">
      <c r="A117" s="5">
        <v>5</v>
      </c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</row>
    <row r="118" spans="1:17">
      <c r="A118" s="5">
        <v>6</v>
      </c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</row>
    <row r="119" spans="1:17">
      <c r="A119" s="5">
        <v>7</v>
      </c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</row>
    <row r="120" spans="1:17">
      <c r="A120" s="5">
        <v>8</v>
      </c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</row>
    <row r="121" spans="1:17">
      <c r="A121" s="5">
        <v>9</v>
      </c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</row>
    <row r="122" spans="1:17">
      <c r="A122" s="5">
        <v>10</v>
      </c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</row>
    <row r="123" spans="1:17">
      <c r="A123" s="5">
        <v>11</v>
      </c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  <c r="O123" s="45"/>
      <c r="P123" s="45"/>
      <c r="Q123" s="45"/>
    </row>
    <row r="124" spans="1:17">
      <c r="A124" s="5">
        <v>12</v>
      </c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  <c r="O124" s="45"/>
      <c r="P124" s="45"/>
      <c r="Q124" s="45"/>
    </row>
    <row r="125" spans="1:17">
      <c r="A125" s="5">
        <v>13</v>
      </c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  <c r="O125" s="45"/>
      <c r="P125" s="45"/>
      <c r="Q125" s="45"/>
    </row>
    <row r="126" spans="1:17">
      <c r="A126" s="5">
        <v>14</v>
      </c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  <c r="O126" s="45"/>
      <c r="P126" s="45"/>
      <c r="Q126" s="45"/>
    </row>
    <row r="127" spans="1:17">
      <c r="A127" s="5">
        <v>15</v>
      </c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5"/>
      <c r="Q127" s="45"/>
    </row>
    <row r="128" spans="1:17">
      <c r="A128" s="5">
        <v>16</v>
      </c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</row>
  </sheetData>
  <sheetProtection selectLockedCells="1" selectUnlockedCells="1"/>
  <mergeCells count="1">
    <mergeCell ref="I1:J1"/>
  </mergeCells>
  <dataValidations count="4">
    <dataValidation type="list" operator="equal" allowBlank="1" sqref="I2:I18">
      <formula1>"1,2"</formula1>
      <formula2>0</formula2>
    </dataValidation>
    <dataValidation type="list" operator="equal" allowBlank="1" sqref="G3:G18">
      <formula1>"SR,PTS"</formula1>
      <formula2>0</formula2>
    </dataValidation>
    <dataValidation type="list" operator="equal" allowBlank="1" sqref="H23">
      <formula1>"Yes,No"</formula1>
      <formula2>0</formula2>
    </dataValidation>
    <dataValidation type="list" operator="equal" allowBlank="1" sqref="B36 B40">
      <formula1>"Yes,No"</formula1>
      <formula2>0</formula2>
    </dataValidation>
  </dataValidation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S114"/>
  <sheetViews>
    <sheetView topLeftCell="A22" workbookViewId="0">
      <selection activeCell="A44" sqref="A41:A44"/>
    </sheetView>
  </sheetViews>
  <sheetFormatPr baseColWidth="10" defaultColWidth="11.5703125" defaultRowHeight="12.75"/>
  <cols>
    <col min="1" max="2" width="11.5703125" style="1"/>
    <col min="3" max="3" width="12.5703125" style="1" customWidth="1"/>
    <col min="4" max="4" width="7.7109375" style="1" customWidth="1"/>
    <col min="5" max="5" width="8" style="1" customWidth="1"/>
    <col min="6" max="6" width="10.42578125" style="1" customWidth="1"/>
    <col min="7" max="7" width="10.140625" style="1" customWidth="1"/>
    <col min="8" max="8" width="8.5703125" style="1" customWidth="1"/>
    <col min="9" max="9" width="7.7109375" style="1" customWidth="1"/>
    <col min="10" max="10" width="11.42578125" style="1" customWidth="1"/>
    <col min="11" max="11" width="9.5703125" style="1" customWidth="1"/>
    <col min="12" max="12" width="9.28515625" style="1" customWidth="1"/>
    <col min="13" max="13" width="9" style="1" customWidth="1"/>
    <col min="14" max="14" width="9.85546875" style="1" customWidth="1"/>
    <col min="15" max="15" width="9" style="1" customWidth="1"/>
    <col min="16" max="16" width="9.140625" style="1" customWidth="1"/>
    <col min="17" max="16384" width="11.5703125" style="1"/>
  </cols>
  <sheetData>
    <row r="1" spans="1:16">
      <c r="A1" s="13" t="s">
        <v>92</v>
      </c>
      <c r="B1" s="13" t="s">
        <v>93</v>
      </c>
      <c r="C1" s="13" t="s">
        <v>111</v>
      </c>
      <c r="D1" s="13" t="s">
        <v>84</v>
      </c>
      <c r="E1" s="13" t="s">
        <v>85</v>
      </c>
      <c r="F1" s="13" t="s">
        <v>85</v>
      </c>
      <c r="G1" s="13" t="s">
        <v>91</v>
      </c>
      <c r="H1" s="109" t="s">
        <v>112</v>
      </c>
      <c r="I1" s="109"/>
      <c r="J1" s="13" t="s">
        <v>87</v>
      </c>
      <c r="K1" s="13" t="s">
        <v>88</v>
      </c>
      <c r="L1" s="13" t="s">
        <v>89</v>
      </c>
      <c r="M1" s="13"/>
      <c r="N1" s="13" t="s">
        <v>90</v>
      </c>
    </row>
    <row r="2" spans="1:16">
      <c r="A2" s="46" t="s">
        <v>138</v>
      </c>
      <c r="B2" s="47" t="s">
        <v>151</v>
      </c>
      <c r="C2" s="48" t="s">
        <v>152</v>
      </c>
      <c r="D2" s="47">
        <v>1</v>
      </c>
      <c r="E2" s="47" t="s">
        <v>133</v>
      </c>
      <c r="F2" s="49" t="s">
        <v>153</v>
      </c>
      <c r="G2" s="50">
        <v>1</v>
      </c>
      <c r="H2" s="21" t="s">
        <v>173</v>
      </c>
      <c r="I2" s="21" t="s">
        <v>174</v>
      </c>
      <c r="J2" s="21" t="s">
        <v>175</v>
      </c>
      <c r="K2" s="21">
        <v>1</v>
      </c>
      <c r="L2" s="51"/>
      <c r="M2" s="52" t="str">
        <f t="shared" ref="M2:M25" si="0">IF(L2=1,H2,IF(L2=2,I2,""))</f>
        <v/>
      </c>
      <c r="N2" s="53"/>
      <c r="O2" s="25" t="str">
        <f t="shared" ref="O2:O25" si="1">IF(AND(J2="",NOT(N2="")),"Please remove the score, this is not a SR or PTS match",IF(AND(N2="",NOT(J2=""),L2&gt;0),"Please put in the score for this match",""))</f>
        <v/>
      </c>
      <c r="P2" s="25" t="str">
        <f t="shared" ref="P2:P25" si="2">IF(AND(K2="",NOT(H2="")),"Please set the day for this match","")</f>
        <v/>
      </c>
    </row>
    <row r="3" spans="1:16">
      <c r="A3" s="54" t="s">
        <v>154</v>
      </c>
      <c r="B3" s="3" t="s">
        <v>154</v>
      </c>
      <c r="C3" s="5" t="s">
        <v>155</v>
      </c>
      <c r="D3" s="55"/>
      <c r="E3" s="55"/>
      <c r="F3" s="56"/>
      <c r="G3" s="57">
        <v>2</v>
      </c>
      <c r="H3" s="21" t="s">
        <v>176</v>
      </c>
      <c r="I3" s="21" t="s">
        <v>177</v>
      </c>
      <c r="J3" s="21" t="s">
        <v>175</v>
      </c>
      <c r="K3" s="21">
        <v>1</v>
      </c>
      <c r="L3" s="59"/>
      <c r="M3" s="23" t="str">
        <f t="shared" si="0"/>
        <v/>
      </c>
      <c r="N3" s="60"/>
      <c r="O3" s="25" t="str">
        <f t="shared" si="1"/>
        <v/>
      </c>
      <c r="P3" s="25" t="str">
        <f t="shared" si="2"/>
        <v/>
      </c>
    </row>
    <row r="4" spans="1:16">
      <c r="A4" s="54" t="s">
        <v>132</v>
      </c>
      <c r="B4" s="3" t="s">
        <v>156</v>
      </c>
      <c r="C4" s="5" t="s">
        <v>157</v>
      </c>
      <c r="D4" s="55"/>
      <c r="E4" s="55" t="s">
        <v>133</v>
      </c>
      <c r="F4" s="56" t="s">
        <v>158</v>
      </c>
      <c r="G4" s="57">
        <v>3</v>
      </c>
      <c r="H4" s="21" t="s">
        <v>178</v>
      </c>
      <c r="I4" s="21" t="s">
        <v>179</v>
      </c>
      <c r="J4" s="21" t="s">
        <v>175</v>
      </c>
      <c r="K4" s="21">
        <v>1</v>
      </c>
      <c r="L4" s="59"/>
      <c r="M4" s="23" t="str">
        <f t="shared" si="0"/>
        <v/>
      </c>
      <c r="N4" s="60"/>
      <c r="O4" s="25" t="str">
        <f t="shared" si="1"/>
        <v/>
      </c>
      <c r="P4" s="25" t="str">
        <f t="shared" si="2"/>
        <v/>
      </c>
    </row>
    <row r="5" spans="1:16">
      <c r="A5" s="54" t="s">
        <v>159</v>
      </c>
      <c r="B5" s="3" t="s">
        <v>140</v>
      </c>
      <c r="C5" s="5" t="s">
        <v>160</v>
      </c>
      <c r="D5" s="55">
        <v>4</v>
      </c>
      <c r="E5" s="55" t="s">
        <v>141</v>
      </c>
      <c r="F5" s="56" t="s">
        <v>141</v>
      </c>
      <c r="G5" s="57">
        <v>4</v>
      </c>
      <c r="H5" s="21" t="s">
        <v>180</v>
      </c>
      <c r="I5" s="21" t="s">
        <v>181</v>
      </c>
      <c r="J5" s="21" t="s">
        <v>175</v>
      </c>
      <c r="K5" s="21">
        <v>1</v>
      </c>
      <c r="L5" s="59"/>
      <c r="M5" s="23" t="str">
        <f t="shared" si="0"/>
        <v/>
      </c>
      <c r="N5" s="60"/>
      <c r="O5" s="25" t="str">
        <f t="shared" si="1"/>
        <v/>
      </c>
      <c r="P5" s="25" t="str">
        <f t="shared" si="2"/>
        <v/>
      </c>
    </row>
    <row r="6" spans="1:16">
      <c r="A6" s="54" t="s">
        <v>161</v>
      </c>
      <c r="B6" s="3" t="s">
        <v>162</v>
      </c>
      <c r="C6" s="5" t="s">
        <v>163</v>
      </c>
      <c r="D6" s="55">
        <v>2</v>
      </c>
      <c r="E6" s="55" t="s">
        <v>164</v>
      </c>
      <c r="F6" s="56" t="s">
        <v>165</v>
      </c>
      <c r="G6" s="57">
        <v>5</v>
      </c>
      <c r="H6" s="110" t="s">
        <v>182</v>
      </c>
      <c r="I6" s="21" t="s">
        <v>183</v>
      </c>
      <c r="J6" s="21" t="s">
        <v>175</v>
      </c>
      <c r="K6" s="21">
        <v>1</v>
      </c>
      <c r="L6" s="59"/>
      <c r="M6" s="23" t="str">
        <f t="shared" si="0"/>
        <v/>
      </c>
      <c r="N6" s="60"/>
      <c r="O6" s="25" t="str">
        <f t="shared" si="1"/>
        <v/>
      </c>
      <c r="P6" s="25" t="str">
        <f t="shared" si="2"/>
        <v/>
      </c>
    </row>
    <row r="7" spans="1:16">
      <c r="A7" s="54" t="s">
        <v>166</v>
      </c>
      <c r="B7" s="3" t="s">
        <v>167</v>
      </c>
      <c r="C7" s="5" t="s">
        <v>168</v>
      </c>
      <c r="D7" s="55"/>
      <c r="E7" s="55" t="s">
        <v>133</v>
      </c>
      <c r="F7" s="56" t="s">
        <v>158</v>
      </c>
      <c r="G7" s="57">
        <v>6</v>
      </c>
      <c r="H7" s="21" t="s">
        <v>184</v>
      </c>
      <c r="I7" s="21" t="s">
        <v>185</v>
      </c>
      <c r="J7" s="21" t="s">
        <v>175</v>
      </c>
      <c r="K7" s="21">
        <v>1</v>
      </c>
      <c r="L7" s="59"/>
      <c r="M7" s="23" t="str">
        <f t="shared" si="0"/>
        <v/>
      </c>
      <c r="N7" s="60"/>
      <c r="O7" s="25" t="str">
        <f t="shared" si="1"/>
        <v/>
      </c>
      <c r="P7" s="25" t="str">
        <f t="shared" si="2"/>
        <v/>
      </c>
    </row>
    <row r="8" spans="1:16">
      <c r="A8" s="54" t="s">
        <v>134</v>
      </c>
      <c r="B8" s="3" t="s">
        <v>169</v>
      </c>
      <c r="C8" s="5" t="s">
        <v>170</v>
      </c>
      <c r="D8" s="55"/>
      <c r="E8" s="55" t="s">
        <v>135</v>
      </c>
      <c r="F8" s="56" t="s">
        <v>171</v>
      </c>
      <c r="G8" s="57">
        <v>7</v>
      </c>
      <c r="H8" s="21" t="s">
        <v>186</v>
      </c>
      <c r="I8" s="21" t="s">
        <v>187</v>
      </c>
      <c r="J8" s="21" t="s">
        <v>175</v>
      </c>
      <c r="K8" s="21">
        <v>1</v>
      </c>
      <c r="L8" s="59"/>
      <c r="M8" s="23" t="str">
        <f t="shared" si="0"/>
        <v/>
      </c>
      <c r="N8" s="60"/>
      <c r="O8" s="25" t="str">
        <f t="shared" si="1"/>
        <v/>
      </c>
      <c r="P8" s="25" t="str">
        <f t="shared" si="2"/>
        <v/>
      </c>
    </row>
    <row r="9" spans="1:16">
      <c r="A9" s="54" t="s">
        <v>130</v>
      </c>
      <c r="B9" s="3" t="s">
        <v>150</v>
      </c>
      <c r="C9" s="5" t="s">
        <v>172</v>
      </c>
      <c r="D9" s="55">
        <v>3</v>
      </c>
      <c r="E9" s="55" t="s">
        <v>131</v>
      </c>
      <c r="F9" s="56" t="s">
        <v>131</v>
      </c>
      <c r="G9" s="57">
        <v>8</v>
      </c>
      <c r="H9" s="21" t="s">
        <v>188</v>
      </c>
      <c r="I9" s="21" t="s">
        <v>189</v>
      </c>
      <c r="J9" s="21" t="s">
        <v>175</v>
      </c>
      <c r="K9" s="21">
        <v>1</v>
      </c>
      <c r="L9" s="59"/>
      <c r="M9" s="23" t="str">
        <f t="shared" si="0"/>
        <v/>
      </c>
      <c r="N9" s="60"/>
      <c r="O9" s="25" t="str">
        <f t="shared" si="1"/>
        <v/>
      </c>
      <c r="P9" s="25" t="str">
        <f t="shared" si="2"/>
        <v/>
      </c>
    </row>
    <row r="10" spans="1:16">
      <c r="A10" s="54"/>
      <c r="B10" s="3"/>
      <c r="C10" s="5" t="str">
        <f t="shared" ref="C10:C17" si="3">A10&amp;"/"&amp;B10</f>
        <v>/</v>
      </c>
      <c r="D10" s="55"/>
      <c r="E10" s="55"/>
      <c r="F10" s="56"/>
      <c r="G10" s="57">
        <v>9</v>
      </c>
      <c r="H10" s="21" t="s">
        <v>190</v>
      </c>
      <c r="I10" s="21" t="s">
        <v>191</v>
      </c>
      <c r="J10" s="21" t="s">
        <v>175</v>
      </c>
      <c r="K10" s="21">
        <v>1</v>
      </c>
      <c r="L10" s="59"/>
      <c r="M10" s="23" t="str">
        <f t="shared" si="0"/>
        <v/>
      </c>
      <c r="N10" s="60"/>
      <c r="O10" s="25" t="str">
        <f t="shared" si="1"/>
        <v/>
      </c>
      <c r="P10" s="25" t="str">
        <f t="shared" si="2"/>
        <v/>
      </c>
    </row>
    <row r="11" spans="1:16">
      <c r="A11" s="54"/>
      <c r="B11" s="3"/>
      <c r="C11" s="5" t="str">
        <f t="shared" si="3"/>
        <v>/</v>
      </c>
      <c r="D11" s="55"/>
      <c r="E11" s="55"/>
      <c r="F11" s="56"/>
      <c r="G11" s="57">
        <v>10</v>
      </c>
      <c r="H11" s="21" t="s">
        <v>192</v>
      </c>
      <c r="I11" s="21" t="s">
        <v>193</v>
      </c>
      <c r="J11" s="21" t="s">
        <v>175</v>
      </c>
      <c r="K11" s="21">
        <v>1</v>
      </c>
      <c r="L11" s="59"/>
      <c r="M11" s="23" t="str">
        <f t="shared" si="0"/>
        <v/>
      </c>
      <c r="N11" s="60"/>
      <c r="O11" s="25" t="str">
        <f t="shared" si="1"/>
        <v/>
      </c>
      <c r="P11" s="25" t="str">
        <f t="shared" si="2"/>
        <v/>
      </c>
    </row>
    <row r="12" spans="1:16">
      <c r="A12" s="54"/>
      <c r="B12" s="3"/>
      <c r="C12" s="5" t="str">
        <f t="shared" si="3"/>
        <v>/</v>
      </c>
      <c r="D12" s="55"/>
      <c r="E12" s="55"/>
      <c r="F12" s="56"/>
      <c r="G12" s="57">
        <v>11</v>
      </c>
      <c r="H12" s="21" t="s">
        <v>194</v>
      </c>
      <c r="I12" s="21" t="s">
        <v>195</v>
      </c>
      <c r="J12" s="21" t="s">
        <v>175</v>
      </c>
      <c r="K12" s="21">
        <v>1</v>
      </c>
      <c r="L12" s="59"/>
      <c r="M12" s="23" t="str">
        <f t="shared" si="0"/>
        <v/>
      </c>
      <c r="N12" s="60"/>
      <c r="O12" s="25" t="str">
        <f t="shared" si="1"/>
        <v/>
      </c>
      <c r="P12" s="25" t="str">
        <f t="shared" si="2"/>
        <v/>
      </c>
    </row>
    <row r="13" spans="1:16">
      <c r="A13" s="61"/>
      <c r="B13" s="3"/>
      <c r="C13" s="5" t="str">
        <f t="shared" si="3"/>
        <v>/</v>
      </c>
      <c r="D13" s="55"/>
      <c r="E13" s="55"/>
      <c r="F13" s="56"/>
      <c r="G13" s="57">
        <v>12</v>
      </c>
      <c r="H13" s="21" t="s">
        <v>196</v>
      </c>
      <c r="I13" s="21" t="s">
        <v>197</v>
      </c>
      <c r="J13" s="21" t="s">
        <v>175</v>
      </c>
      <c r="K13" s="21">
        <v>1</v>
      </c>
      <c r="L13" s="59"/>
      <c r="M13" s="23" t="str">
        <f t="shared" si="0"/>
        <v/>
      </c>
      <c r="N13" s="60"/>
      <c r="O13" s="25" t="str">
        <f t="shared" si="1"/>
        <v/>
      </c>
      <c r="P13" s="25" t="str">
        <f t="shared" si="2"/>
        <v/>
      </c>
    </row>
    <row r="14" spans="1:16">
      <c r="A14" s="54"/>
      <c r="B14" s="3"/>
      <c r="C14" s="5" t="str">
        <f t="shared" si="3"/>
        <v>/</v>
      </c>
      <c r="D14" s="55"/>
      <c r="E14" s="55"/>
      <c r="F14" s="56"/>
      <c r="G14" s="57">
        <v>13</v>
      </c>
      <c r="H14" s="21" t="s">
        <v>198</v>
      </c>
      <c r="I14" s="21" t="s">
        <v>199</v>
      </c>
      <c r="J14" s="21" t="s">
        <v>175</v>
      </c>
      <c r="K14" s="21">
        <v>1</v>
      </c>
      <c r="L14" s="59"/>
      <c r="M14" s="23" t="str">
        <f t="shared" si="0"/>
        <v/>
      </c>
      <c r="N14" s="60"/>
      <c r="O14" s="25" t="str">
        <f t="shared" si="1"/>
        <v/>
      </c>
      <c r="P14" s="25" t="str">
        <f t="shared" si="2"/>
        <v/>
      </c>
    </row>
    <row r="15" spans="1:16">
      <c r="A15" s="54"/>
      <c r="B15" s="3"/>
      <c r="C15" s="5" t="str">
        <f t="shared" si="3"/>
        <v>/</v>
      </c>
      <c r="D15" s="55"/>
      <c r="E15" s="55"/>
      <c r="F15" s="56"/>
      <c r="G15" s="57">
        <v>14</v>
      </c>
      <c r="H15" s="21" t="s">
        <v>200</v>
      </c>
      <c r="I15" s="21" t="s">
        <v>201</v>
      </c>
      <c r="J15" s="21" t="s">
        <v>175</v>
      </c>
      <c r="K15" s="21">
        <v>1</v>
      </c>
      <c r="L15" s="59"/>
      <c r="M15" s="23" t="str">
        <f t="shared" si="0"/>
        <v/>
      </c>
      <c r="N15" s="60"/>
      <c r="O15" s="25" t="str">
        <f t="shared" si="1"/>
        <v/>
      </c>
      <c r="P15" s="25" t="str">
        <f t="shared" si="2"/>
        <v/>
      </c>
    </row>
    <row r="16" spans="1:16">
      <c r="A16" s="54"/>
      <c r="B16" s="3"/>
      <c r="C16" s="5" t="str">
        <f t="shared" si="3"/>
        <v>/</v>
      </c>
      <c r="D16" s="55"/>
      <c r="E16" s="55"/>
      <c r="F16" s="56"/>
      <c r="G16" s="57">
        <v>15</v>
      </c>
      <c r="H16" s="21" t="s">
        <v>202</v>
      </c>
      <c r="I16" s="21" t="s">
        <v>200</v>
      </c>
      <c r="J16" s="21" t="s">
        <v>175</v>
      </c>
      <c r="K16" s="21">
        <v>1</v>
      </c>
      <c r="L16" s="59"/>
      <c r="M16" s="23" t="str">
        <f t="shared" si="0"/>
        <v/>
      </c>
      <c r="N16" s="60"/>
      <c r="O16" s="25" t="str">
        <f t="shared" si="1"/>
        <v/>
      </c>
      <c r="P16" s="25" t="str">
        <f t="shared" si="2"/>
        <v/>
      </c>
    </row>
    <row r="17" spans="1:18">
      <c r="A17" s="62"/>
      <c r="B17" s="63"/>
      <c r="C17" s="64" t="str">
        <f t="shared" si="3"/>
        <v>/</v>
      </c>
      <c r="D17" s="63"/>
      <c r="E17" s="63"/>
      <c r="F17" s="65"/>
      <c r="G17" s="57">
        <v>16</v>
      </c>
      <c r="H17" s="21" t="s">
        <v>203</v>
      </c>
      <c r="I17" s="21" t="s">
        <v>204</v>
      </c>
      <c r="J17" s="21" t="s">
        <v>175</v>
      </c>
      <c r="K17" s="21">
        <v>1</v>
      </c>
      <c r="L17" s="59"/>
      <c r="M17" s="23" t="str">
        <f t="shared" si="0"/>
        <v/>
      </c>
      <c r="N17" s="60"/>
      <c r="O17" s="25" t="str">
        <f t="shared" si="1"/>
        <v/>
      </c>
      <c r="P17" s="25" t="str">
        <f t="shared" si="2"/>
        <v/>
      </c>
    </row>
    <row r="18" spans="1:18">
      <c r="G18" s="57">
        <v>17</v>
      </c>
      <c r="H18" s="21"/>
      <c r="I18" s="21"/>
      <c r="J18" s="21"/>
      <c r="K18" s="58"/>
      <c r="L18" s="59"/>
      <c r="M18" s="23" t="str">
        <f t="shared" si="0"/>
        <v/>
      </c>
      <c r="N18" s="60"/>
      <c r="O18" s="25" t="str">
        <f t="shared" si="1"/>
        <v/>
      </c>
      <c r="P18" s="25" t="str">
        <f t="shared" si="2"/>
        <v/>
      </c>
    </row>
    <row r="19" spans="1:18">
      <c r="G19" s="57">
        <v>18</v>
      </c>
      <c r="H19" s="21"/>
      <c r="I19" s="21"/>
      <c r="J19" s="21"/>
      <c r="K19" s="58"/>
      <c r="L19" s="59"/>
      <c r="M19" s="23" t="str">
        <f t="shared" si="0"/>
        <v/>
      </c>
      <c r="N19" s="60"/>
      <c r="O19" s="25" t="str">
        <f t="shared" si="1"/>
        <v/>
      </c>
      <c r="P19" s="25" t="str">
        <f t="shared" si="2"/>
        <v/>
      </c>
    </row>
    <row r="20" spans="1:18">
      <c r="A20" s="26" t="s">
        <v>94</v>
      </c>
      <c r="D20" s="27">
        <v>2</v>
      </c>
      <c r="G20" s="57">
        <v>19</v>
      </c>
      <c r="H20" s="21"/>
      <c r="I20" s="21"/>
      <c r="J20" s="21"/>
      <c r="K20" s="58"/>
      <c r="L20" s="59"/>
      <c r="M20" s="23" t="str">
        <f t="shared" si="0"/>
        <v/>
      </c>
      <c r="N20" s="60"/>
      <c r="O20" s="25" t="str">
        <f t="shared" si="1"/>
        <v/>
      </c>
      <c r="P20" s="25" t="str">
        <f t="shared" si="2"/>
        <v/>
      </c>
    </row>
    <row r="21" spans="1:18">
      <c r="A21" s="26" t="s">
        <v>95</v>
      </c>
      <c r="D21" s="3">
        <v>1</v>
      </c>
      <c r="G21" s="57">
        <v>20</v>
      </c>
      <c r="H21" s="21"/>
      <c r="I21" s="21"/>
      <c r="J21" s="21"/>
      <c r="K21" s="58"/>
      <c r="L21" s="59"/>
      <c r="M21" s="23" t="str">
        <f t="shared" si="0"/>
        <v/>
      </c>
      <c r="N21" s="60"/>
      <c r="O21" s="25" t="str">
        <f t="shared" si="1"/>
        <v/>
      </c>
      <c r="P21" s="25" t="str">
        <f t="shared" si="2"/>
        <v/>
      </c>
    </row>
    <row r="22" spans="1:18">
      <c r="A22" s="26" t="s">
        <v>96</v>
      </c>
      <c r="D22" s="3">
        <v>3</v>
      </c>
      <c r="E22" s="28" t="s">
        <v>97</v>
      </c>
      <c r="G22" s="57">
        <v>21</v>
      </c>
      <c r="H22" s="21"/>
      <c r="I22" s="21"/>
      <c r="J22" s="21"/>
      <c r="K22" s="58"/>
      <c r="L22" s="59"/>
      <c r="M22" s="23" t="str">
        <f t="shared" si="0"/>
        <v/>
      </c>
      <c r="N22" s="60"/>
      <c r="O22" s="25" t="str">
        <f t="shared" si="1"/>
        <v/>
      </c>
      <c r="P22" s="25" t="str">
        <f t="shared" si="2"/>
        <v/>
      </c>
    </row>
    <row r="23" spans="1:18">
      <c r="A23" s="26" t="s">
        <v>98</v>
      </c>
      <c r="D23" s="29" t="s">
        <v>99</v>
      </c>
      <c r="E23" s="28" t="s">
        <v>100</v>
      </c>
      <c r="G23" s="57">
        <v>22</v>
      </c>
      <c r="H23" s="21"/>
      <c r="I23" s="21"/>
      <c r="J23" s="21"/>
      <c r="K23" s="58"/>
      <c r="L23" s="59"/>
      <c r="M23" s="23" t="str">
        <f t="shared" si="0"/>
        <v/>
      </c>
      <c r="N23" s="60"/>
      <c r="O23" s="25" t="str">
        <f t="shared" si="1"/>
        <v/>
      </c>
      <c r="P23" s="25" t="str">
        <f t="shared" si="2"/>
        <v/>
      </c>
    </row>
    <row r="24" spans="1:18">
      <c r="G24" s="57">
        <v>23</v>
      </c>
      <c r="H24" s="21"/>
      <c r="I24" s="21"/>
      <c r="J24" s="21"/>
      <c r="K24" s="58"/>
      <c r="L24" s="59"/>
      <c r="M24" s="23" t="str">
        <f t="shared" si="0"/>
        <v/>
      </c>
      <c r="N24" s="60"/>
      <c r="O24" s="25" t="str">
        <f t="shared" si="1"/>
        <v/>
      </c>
      <c r="P24" s="25" t="str">
        <f t="shared" si="2"/>
        <v/>
      </c>
    </row>
    <row r="25" spans="1:18">
      <c r="A25" s="26" t="s">
        <v>105</v>
      </c>
      <c r="D25" s="35" t="s">
        <v>99</v>
      </c>
      <c r="G25" s="66">
        <v>24</v>
      </c>
      <c r="H25" s="67"/>
      <c r="I25" s="67"/>
      <c r="J25" s="67"/>
      <c r="K25" s="68"/>
      <c r="L25" s="69"/>
      <c r="M25" s="70" t="str">
        <f t="shared" si="0"/>
        <v/>
      </c>
      <c r="N25" s="71"/>
      <c r="O25" s="25" t="str">
        <f t="shared" si="1"/>
        <v/>
      </c>
      <c r="P25" s="25" t="str">
        <f t="shared" si="2"/>
        <v/>
      </c>
    </row>
    <row r="27" spans="1:18" s="13" customFormat="1">
      <c r="A27" s="1"/>
      <c r="B27" s="30" t="s">
        <v>101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ht="13.5">
      <c r="B28" s="31" t="s">
        <v>102</v>
      </c>
      <c r="J28" s="72" t="s">
        <v>110</v>
      </c>
      <c r="K28" s="39"/>
      <c r="M28" s="26" t="s">
        <v>84</v>
      </c>
      <c r="N28" s="26" t="s">
        <v>85</v>
      </c>
      <c r="O28" s="26" t="s">
        <v>85</v>
      </c>
    </row>
    <row r="29" spans="1:18" ht="13.5">
      <c r="B29" s="31" t="str">
        <f>"00:00 | "&amp;IF(AND(D2&gt;0,D2&lt;33),"[b]("&amp;D2&amp;") "&amp;C2&amp;" ("&amp;E2&amp;"/"&amp;F2&amp;")[/b]",IF(LEN(D2)&gt;0,"("&amp;D2&amp;") "&amp;C2&amp;" ("&amp;E2&amp;"/"&amp;F2&amp;")",C2&amp;IF(LEN(E2)&gt;0," ("&amp;E2&amp;"/"&amp;F2&amp;")","")))&amp;" vs. "&amp;IF(AND(D3&gt;0,D3&lt;33),"[b]("&amp;D3&amp;") "&amp;C3&amp;" ("&amp;E3&amp;"/"&amp;F3&amp;")[/b]",IF(LEN(D3)&gt;0,"("&amp;D3&amp;") "&amp;C3&amp;" ("&amp;E3&amp;"/"&amp;F3&amp;")",C3&amp;IF(LEN(E3)&gt;0," ("&amp;E3&amp;"/"&amp;F3&amp;")","")))</f>
        <v>00:00 | [b](1) geangr/A_Skywalker (BRA/BUL)[/b] vs. BYE/BYE</v>
      </c>
      <c r="J29" s="73" t="str">
        <f>DDDiffs!T46</f>
        <v/>
      </c>
      <c r="K29" s="73" t="str">
        <f>DDDiffs!U46</f>
        <v/>
      </c>
      <c r="M29" s="74" t="str">
        <f>IF(AND(LEN(A52)&gt;0,NOT(A52="Tied, see shootout"),NOT(A52="No decision yet")),VLOOKUP(A52,$C$2:$D$17,2,0),"")</f>
        <v/>
      </c>
      <c r="N29" s="74" t="str">
        <f>IF(AND(LEN(A52)&gt;0,NOT(A52="Tied, see shootout"),NOT(A52="No decision yet")),VLOOKUP(A52,$C$2:$E$17,3,0),"")</f>
        <v/>
      </c>
      <c r="O29" s="74" t="str">
        <f>IF(AND(LEN(A52)&gt;0,NOT(A52="Tied, see shootout"),NOT(A52="No decision yet")),VLOOKUP(A52,$C$2:$F$17,4,0),"")</f>
        <v/>
      </c>
    </row>
    <row r="30" spans="1:18" ht="13.5">
      <c r="B30" s="31" t="str">
        <f>"00:00 | "&amp;IF(AND(D4&gt;0,D4&lt;33),"[b]("&amp;D4&amp;") "&amp;C4&amp;" ("&amp;E4&amp;"/"&amp;F4&amp;")[/b]",IF(LEN(D4)&gt;0,"("&amp;D4&amp;") "&amp;C4&amp;" ("&amp;E4&amp;"/"&amp;F4&amp;")",C4&amp;IF(LEN(E4)&gt;0," ("&amp;E4&amp;"/"&amp;F4&amp;")","")))&amp;" vs. "&amp;IF(AND(D5&gt;0,D5&lt;33),"[b]("&amp;D5&amp;") "&amp;C5&amp;" ("&amp;E5&amp;"/"&amp;F5&amp;")[/b]",IF(LEN(D5)&gt;0,"("&amp;D5&amp;") "&amp;C5&amp;" ("&amp;E5&amp;"/"&amp;F5&amp;")",C5&amp;IF(LEN(E5)&gt;0," ("&amp;E5&amp;"/"&amp;F5&amp;")","")))</f>
        <v>00:00 | gabrieltufao/igorpetrov (BRA/XXX) vs. [b](4) hahaha7/Superior1 (CRO/CRO)[/b]</v>
      </c>
      <c r="J30" s="73" t="str">
        <f>DDDiffs!T150</f>
        <v/>
      </c>
      <c r="K30" s="73" t="str">
        <f>DDDiffs!U150</f>
        <v/>
      </c>
      <c r="M30" s="74" t="str">
        <f>IF(AND(LEN(A53)&gt;0,NOT(A53="Tied, see shootout"),NOT(A53="No decision yet")),VLOOKUP(A53,$C$2:$D$17,2,0),"")</f>
        <v/>
      </c>
      <c r="N30" s="74" t="str">
        <f>IF(AND(LEN(A53)&gt;0,NOT(A53="Tied, see shootout"),NOT(A53="No decision yet")),VLOOKUP(A53,$C$2:$E$17,3,0),"")</f>
        <v/>
      </c>
      <c r="O30" s="74" t="str">
        <f>IF(AND(LEN(A53)&gt;0,NOT(A53="Tied, see shootout"),NOT(A53="No decision yet")),VLOOKUP(A53,$C$2:$F$17,4,0),"")</f>
        <v/>
      </c>
    </row>
    <row r="31" spans="1:18" ht="13.5">
      <c r="B31" s="31" t="str">
        <f>"00:00 | "&amp;IF(AND(D6&gt;0,D6&lt;33),"[b]("&amp;D6&amp;") "&amp;C6&amp;" ("&amp;E6&amp;"/"&amp;F6&amp;")[/b]",IF(LEN(D6)&gt;0,"("&amp;D6&amp;") "&amp;C6&amp;" ("&amp;E6&amp;"/"&amp;F6&amp;")",C6&amp;IF(LEN(E6)&gt;0," ("&amp;E6&amp;"/"&amp;F6&amp;")","")))&amp;" vs. "&amp;IF(AND(D7&gt;0,D7&lt;33),"[b]("&amp;D7&amp;") "&amp;C7&amp;" ("&amp;E7&amp;"/"&amp;F7&amp;")[/b]",IF(LEN(D7)&gt;0,"("&amp;D7&amp;") "&amp;C7&amp;" ("&amp;E7&amp;"/"&amp;F7&amp;")",C7&amp;IF(LEN(E7)&gt;0," ("&amp;E7&amp;"/"&amp;F7&amp;")","")))</f>
        <v>00:00 | [b](2) BrazilTBfan/RNW (GRE/SUI)[/b] vs. Thales de Mileto/AeronW (BRA/XXX)</v>
      </c>
      <c r="J31" s="73" t="str">
        <f>DDDiffs!T254</f>
        <v/>
      </c>
      <c r="K31" s="73" t="str">
        <f>DDDiffs!U254</f>
        <v/>
      </c>
      <c r="M31" s="74" t="str">
        <f>IF(AND(LEN(A54)&gt;0,NOT(A54="Tied, see shootout"),NOT(A54="No decision yet")),VLOOKUP(A54,$C$2:$D$17,2,0),"")</f>
        <v/>
      </c>
      <c r="N31" s="74" t="str">
        <f>IF(AND(LEN(A54)&gt;0,NOT(A54="Tied, see shootout"),NOT(A54="No decision yet")),VLOOKUP(A54,$C$2:$E$17,3,0),"")</f>
        <v/>
      </c>
      <c r="O31" s="74" t="str">
        <f>IF(AND(LEN(A54)&gt;0,NOT(A54="Tied, see shootout"),NOT(A54="No decision yet")),VLOOKUP(A54,$C$2:$F$17,4,0),"")</f>
        <v/>
      </c>
    </row>
    <row r="32" spans="1:18" ht="13.5">
      <c r="B32" s="31" t="str">
        <f>"00:00 | "&amp;IF(AND(D8&gt;0,D8&lt;33),"[b]("&amp;D8&amp;") "&amp;C8&amp;" ("&amp;E8&amp;"/"&amp;F8&amp;")[/b]",IF(LEN(D8)&gt;0,"("&amp;D8&amp;") "&amp;C8&amp;" ("&amp;E8&amp;"/"&amp;F8&amp;")",C8&amp;IF(LEN(E8)&gt;0," ("&amp;E8&amp;"/"&amp;F8&amp;")","")))&amp;" vs. "&amp;IF(AND(D9&gt;0,D9&lt;33),"[b]("&amp;D9&amp;") "&amp;C9&amp;" ("&amp;E9&amp;"/"&amp;F9&amp;")[/b]",IF(LEN(D9)&gt;0,"("&amp;D9&amp;") "&amp;C9&amp;" ("&amp;E9&amp;"/"&amp;F9&amp;")",C9&amp;IF(LEN(E9)&gt;0," ("&amp;E9&amp;"/"&amp;F9&amp;")","")))</f>
        <v>00:00 | Lazyking/Southend Aussies (USA/AUS) vs. [b](3) Sauletekis/theKSHE (POR/POR)[/b]</v>
      </c>
      <c r="J32" s="73" t="str">
        <f>DDDiffs!T358</f>
        <v/>
      </c>
      <c r="K32" s="73" t="str">
        <f>DDDiffs!U358</f>
        <v/>
      </c>
      <c r="M32" s="74" t="str">
        <f>IF(AND(LEN(A55)&gt;0,NOT(A55="Tied, see shootout"),NOT(A55="No decision yet")),VLOOKUP(A55,$C$2:$D$17,2,0),"")</f>
        <v/>
      </c>
      <c r="N32" s="74" t="str">
        <f>IF(AND(LEN(A55)&gt;0,NOT(A55="Tied, see shootout"),NOT(A55="No decision yet")),VLOOKUP(A55,$C$2:$E$17,3,0),"")</f>
        <v/>
      </c>
      <c r="O32" s="74" t="str">
        <f>IF(AND(LEN(A55)&gt;0,NOT(A55="Tied, see shootout"),NOT(A55="No decision yet")),VLOOKUP(A55,$C$2:$F$17,4,0),"")</f>
        <v/>
      </c>
    </row>
    <row r="33" spans="1:15" ht="13.5">
      <c r="B33" s="31"/>
      <c r="J33" s="73" t="str">
        <f>DDDiffs!T462</f>
        <v/>
      </c>
      <c r="K33" s="73" t="str">
        <f>DDDiffs!U462</f>
        <v/>
      </c>
      <c r="M33" s="74" t="str">
        <f>IF(AND(LEN(A57)&gt;0,NOT(A57="Tied, see shootout"),NOT(A57="No decision yet")),VLOOKUP(A57,$C$2:$D$17,2,0),"")</f>
        <v/>
      </c>
      <c r="N33" s="74" t="str">
        <f>IF(AND(LEN(A57)&gt;0,NOT(A57="Tied, see shootout"),NOT(A57="No decision yet")),VLOOKUP(A57,$C$2:$E$17,3,0),"")</f>
        <v/>
      </c>
      <c r="O33" s="74" t="str">
        <f>IF(AND(LEN(A57)&gt;0,NOT(A57="Tied, see shootout"),NOT(A57="No decision yet")),VLOOKUP(A57,$C$2:$F$17,4,0),"")</f>
        <v/>
      </c>
    </row>
    <row r="34" spans="1:15" ht="13.5">
      <c r="B34" s="31" t="str">
        <f>"00:00 | "&amp;IF(AND(D10&gt;0,D10&lt;33),"[b]("&amp;D10&amp;") "&amp;C10&amp;" ("&amp;E10&amp;"/"&amp;F10&amp;")[/b]",IF(LEN(D10)&gt;0,"("&amp;D10&amp;") "&amp;C10&amp;" ("&amp;E10&amp;"/"&amp;F10&amp;")",C10&amp;IF(LEN(E10)&gt;0," ("&amp;E10&amp;"/"&amp;F10&amp;")","")))&amp;" vs. "&amp;IF(AND(D11&gt;0,D11&lt;33),"[b]("&amp;D11&amp;") "&amp;C11&amp;" ("&amp;E11&amp;"/"&amp;F11&amp;")[/b]",IF(LEN(D11)&gt;0,"("&amp;D11&amp;") "&amp;C11&amp;" ("&amp;E11&amp;"/"&amp;F11&amp;")",C11&amp;IF(LEN(E11)&gt;0," ("&amp;E11&amp;"/"&amp;F11&amp;")","")))</f>
        <v>00:00 | / vs. /</v>
      </c>
      <c r="J34" s="73" t="str">
        <f>DDDiffs!T566</f>
        <v/>
      </c>
      <c r="K34" s="73" t="str">
        <f>DDDiffs!U566</f>
        <v/>
      </c>
      <c r="M34" s="74" t="str">
        <f>IF(AND(LEN(A58)&gt;0,NOT(A58="Tied, see shootout"),NOT(A58="No decision yet")),VLOOKUP(A58,$C$2:$D$17,2,0),"")</f>
        <v/>
      </c>
      <c r="N34" s="74" t="str">
        <f>IF(AND(LEN(A58)&gt;0,NOT(A58="Tied, see shootout"),NOT(A58="No decision yet")),VLOOKUP(A58,$C$2:$E$17,3,0),"")</f>
        <v/>
      </c>
      <c r="O34" s="74" t="str">
        <f>IF(AND(LEN(A58)&gt;0,NOT(A58="Tied, see shootout"),NOT(A58="No decision yet")),VLOOKUP(A58,$C$2:$F$17,4,0),"")</f>
        <v/>
      </c>
    </row>
    <row r="35" spans="1:15" ht="13.5">
      <c r="B35" s="31" t="str">
        <f>"00:00 | "&amp;IF(AND(D12&gt;0,D12&lt;33),"[b]("&amp;D12&amp;") "&amp;C12&amp;" ("&amp;E12&amp;"/"&amp;F12&amp;")[/b]",IF(LEN(D12)&gt;0,"("&amp;D12&amp;") "&amp;C12&amp;" ("&amp;E12&amp;"/"&amp;F12&amp;")",C12&amp;IF(LEN(E12)&gt;0," ("&amp;E12&amp;"/"&amp;F12&amp;")","")))&amp;" vs. "&amp;IF(AND(D13&gt;0,D13&lt;33),"[b]("&amp;D13&amp;") "&amp;C13&amp;" ("&amp;E13&amp;"/"&amp;F13&amp;")[/b]",IF(LEN(D13)&gt;0,"("&amp;D13&amp;") "&amp;C13&amp;" ("&amp;E13&amp;"/"&amp;F13&amp;")",C13&amp;IF(LEN(E13)&gt;0," ("&amp;E13&amp;"/"&amp;F13&amp;")","")))</f>
        <v>00:00 | / vs. /</v>
      </c>
      <c r="J35" s="73" t="str">
        <f>DDDiffs!T670</f>
        <v/>
      </c>
      <c r="K35" s="73" t="str">
        <f>DDDiffs!U670</f>
        <v/>
      </c>
      <c r="M35" s="74" t="str">
        <f>IF(AND(LEN(A59)&gt;0,NOT(A59="Tied, see shootout"),NOT(A59="No decision yet")),VLOOKUP(A59,$C$2:$D$17,2,0),"")</f>
        <v/>
      </c>
      <c r="N35" s="74" t="str">
        <f>IF(AND(LEN(A59)&gt;0,NOT(A59="Tied, see shootout"),NOT(A59="No decision yet")),VLOOKUP(A59,$C$2:$E$17,3,0),"")</f>
        <v/>
      </c>
      <c r="O35" s="74" t="str">
        <f>IF(AND(LEN(A59)&gt;0,NOT(A59="Tied, see shootout"),NOT(A59="No decision yet")),VLOOKUP(A59,$C$2:$F$17,4,0),"")</f>
        <v/>
      </c>
    </row>
    <row r="36" spans="1:15" ht="13.5">
      <c r="B36" s="31" t="str">
        <f>"00:00 | "&amp;IF(AND(D14&gt;0,D14&lt;33),"[b]("&amp;D14&amp;") "&amp;C14&amp;" ("&amp;E14&amp;"/"&amp;F14&amp;")[/b]",IF(LEN(D14)&gt;0,"("&amp;D14&amp;") "&amp;C14&amp;" ("&amp;E14&amp;"/"&amp;F14&amp;")",C14&amp;IF(LEN(E14)&gt;0," ("&amp;E14&amp;"/"&amp;F14&amp;")","")))&amp;" vs. "&amp;IF(AND(D15&gt;0,D15&lt;33),"[b]("&amp;D15&amp;") "&amp;C15&amp;" ("&amp;E15&amp;"/"&amp;F15&amp;")[/b]",IF(LEN(D15)&gt;0,"("&amp;D15&amp;") "&amp;C15&amp;" ("&amp;E15&amp;"/"&amp;F15&amp;")",C15&amp;IF(LEN(E15)&gt;0," ("&amp;E15&amp;"/"&amp;F15&amp;")","")))</f>
        <v>00:00 | / vs. /</v>
      </c>
      <c r="J36" s="73" t="str">
        <f>DDDiffs!T774</f>
        <v/>
      </c>
      <c r="K36" s="73" t="str">
        <f>DDDiffs!U774</f>
        <v/>
      </c>
      <c r="M36" s="74" t="str">
        <f>IF(AND(LEN(A60)&gt;0,NOT(A60="Tied, see shootout"),NOT(A60="No decision yet")),VLOOKUP(A60,$C$2:$D$17,2,0),"")</f>
        <v/>
      </c>
      <c r="N36" s="74" t="str">
        <f>IF(AND(LEN(A60)&gt;0,NOT(A60="Tied, see shootout"),NOT(A60="No decision yet")),VLOOKUP(A60,$C$2:$E$17,3,0),"")</f>
        <v/>
      </c>
      <c r="O36" s="74" t="str">
        <f>IF(AND(LEN(A60)&gt;0,NOT(A60="Tied, see shootout"),NOT(A60="No decision yet")),VLOOKUP(A60,$C$2:$F$17,4,0),"")</f>
        <v/>
      </c>
    </row>
    <row r="37" spans="1:15" ht="13.5">
      <c r="B37" s="31" t="str">
        <f>"00:00 | "&amp;IF(AND(D16&gt;0,D16&lt;33),"[b]("&amp;D16&amp;") "&amp;C16&amp;" ("&amp;E16&amp;"/"&amp;F16&amp;")[/b]",IF(LEN(D16)&gt;0,"("&amp;D16&amp;") "&amp;C16&amp;" ("&amp;E16&amp;"/"&amp;F16&amp;")",C16&amp;IF(LEN(E16)&gt;0," ("&amp;E16&amp;"/"&amp;F16&amp;")","")))&amp;" vs. "&amp;IF(AND(D17&gt;0,D17&lt;33),"[b]("&amp;D17&amp;") "&amp;C17&amp;" ("&amp;E17&amp;"/"&amp;F17&amp;")[/b]",IF(LEN(D17)&gt;0,"("&amp;D17&amp;") "&amp;C17&amp;" ("&amp;E17&amp;"/"&amp;F17&amp;")",C17&amp;IF(LEN(E17)&gt;0," ("&amp;E17&amp;"/"&amp;F17&amp;")","")))</f>
        <v>00:00 | / vs. /</v>
      </c>
    </row>
    <row r="38" spans="1:15" ht="13.5">
      <c r="B38" s="31" t="s">
        <v>106</v>
      </c>
    </row>
    <row r="40" spans="1:15">
      <c r="A40" s="30" t="s">
        <v>113</v>
      </c>
    </row>
    <row r="41" spans="1:15">
      <c r="A41" s="36" t="str">
        <f>DDDiffs!U33</f>
        <v>00:00 | [b][color=blue](1) geangr/A_Skywalker (BRA/BUL)[/color][/b] vs. [b]Bye[/b]</v>
      </c>
    </row>
    <row r="42" spans="1:15">
      <c r="A42" s="36" t="str">
        <f>DDDiffs!U137</f>
        <v xml:space="preserve">00:00 | [b]gabrieltufao/igorpetrov (BRA/XXX)[/b] vs. [b](4) hahaha7/Superior1 (CRO/CRO)[/b] - Missing picks from gabrieltufao Missing picks from hahaha7 Missing picks from igorpetrov Missing picks from Superior1 </v>
      </c>
    </row>
    <row r="43" spans="1:15">
      <c r="A43" s="36" t="str">
        <f>DDDiffs!U241</f>
        <v xml:space="preserve">00:00 | [b](2) BrazilTBfan/RNW (GRE/SUI)[/b] vs. [b]Thales de Mileto/AeronW (BRA/XXX)[/b] - Missing picks from BrazilTBfan Missing picks from Thales de Mileto </v>
      </c>
    </row>
    <row r="44" spans="1:15">
      <c r="A44" s="36" t="str">
        <f>DDDiffs!U345</f>
        <v>00:00 | [b]Lazyking/Southend Aussies (USA/AUS)[/b] vs. [b](3) Sauletekis/theKSHE (POR/POR)[/b] - Laranja, Lindell, matos, turini +2, Fligia vs. Gaio, Duran, collinari, galdon +2, santos SR Differences: Laranja 2-1 v. Gaio 2-0, Gaio 2-1 v. Gaio 2-0, Lindell 2-1 v. Duran 2-1, Duran 2-0 v. Duran 2-1, Michon 2-1 v. Michon 2-0, matos 2-1 v. collinari 2-0, turini 2-0 v. galdon 2-0, turini 2-1 v. galdon 2-0, Fligia 2-0 v. santos 2-0, santos 2-1 v. santos 2-0</v>
      </c>
    </row>
    <row r="45" spans="1:15">
      <c r="A45" s="36"/>
    </row>
    <row r="46" spans="1:15">
      <c r="A46" s="36" t="e">
        <f ca="1">DDDiffs!U449</f>
        <v>#N/A</v>
      </c>
    </row>
    <row r="47" spans="1:15">
      <c r="A47" s="36" t="e">
        <f ca="1">DDDiffs!U553</f>
        <v>#N/A</v>
      </c>
    </row>
    <row r="48" spans="1:15">
      <c r="A48" s="36" t="e">
        <f ca="1">DDDiffs!U657</f>
        <v>#N/A</v>
      </c>
    </row>
    <row r="49" spans="1:19">
      <c r="A49" s="36" t="e">
        <f ca="1">DDDiffs!U761</f>
        <v>#N/A</v>
      </c>
    </row>
    <row r="51" spans="1:19">
      <c r="A51" s="30" t="s">
        <v>108</v>
      </c>
    </row>
    <row r="52" spans="1:19">
      <c r="A52" s="75" t="str">
        <f>DDDiffs!U43</f>
        <v>No decision yet</v>
      </c>
      <c r="C52" s="40" t="str">
        <f>DDDiffs!U44</f>
        <v>00:00 | [b](1) geangr/A_Skywalker (BRA/BUL)[/b] vs. BYE/BYE #SRs: 0-0</v>
      </c>
    </row>
    <row r="53" spans="1:19">
      <c r="A53" s="75" t="str">
        <f>DDDiffs!U147</f>
        <v>No decision yet</v>
      </c>
      <c r="C53" s="40" t="str">
        <f>DDDiffs!U148</f>
        <v>00:00 | gabrieltufao/igorpetrov (BRA/XXX) vs. [b](4) hahaha7/Superior1 (CRO/CRO)[/b] #SRs: 0-0</v>
      </c>
    </row>
    <row r="54" spans="1:19" s="13" customFormat="1">
      <c r="A54" s="75" t="str">
        <f>DDDiffs!U251</f>
        <v>No decision yet</v>
      </c>
      <c r="B54" s="1"/>
      <c r="C54" s="40" t="str">
        <f>DDDiffs!U252</f>
        <v>00:00 | [b](2) BrazilTBfan/RNW (GRE/SUI)[/b] vs. Thales de Mileto/AeronW (BRA/XXX) #SRs: 0-0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9">
      <c r="A55" s="75" t="str">
        <f>DDDiffs!U355</f>
        <v>No decision yet</v>
      </c>
      <c r="C55" s="40" t="str">
        <f>DDDiffs!U356</f>
        <v>00:00 | Lazyking/Southend Aussies (USA/AUS) vs. [b](3) Sauletekis/theKSHE (POR/POR)[/b] #SRs: 0-0</v>
      </c>
    </row>
    <row r="56" spans="1:19">
      <c r="A56" s="75"/>
      <c r="C56" s="40"/>
    </row>
    <row r="57" spans="1:19">
      <c r="A57" s="75" t="str">
        <f>DDDiffs!U459</f>
        <v>No decision yet</v>
      </c>
      <c r="C57" s="40" t="e">
        <f ca="1">DDDiffs!U460</f>
        <v>#N/A</v>
      </c>
    </row>
    <row r="58" spans="1:19">
      <c r="A58" s="75" t="str">
        <f>DDDiffs!U563</f>
        <v>No decision yet</v>
      </c>
      <c r="C58" s="40" t="e">
        <f ca="1">DDDiffs!U564</f>
        <v>#N/A</v>
      </c>
    </row>
    <row r="59" spans="1:19">
      <c r="A59" s="75" t="str">
        <f>DDDiffs!U667</f>
        <v>No decision yet</v>
      </c>
      <c r="C59" s="40" t="e">
        <f ca="1">DDDiffs!U668</f>
        <v>#N/A</v>
      </c>
    </row>
    <row r="60" spans="1:19">
      <c r="A60" s="75" t="str">
        <f>DDDiffs!U771</f>
        <v>No decision yet</v>
      </c>
      <c r="C60" s="40" t="e">
        <f ca="1">DDDiffs!U772</f>
        <v>#N/A</v>
      </c>
    </row>
    <row r="61" spans="1:19">
      <c r="F61" s="76" t="s">
        <v>114</v>
      </c>
    </row>
    <row r="62" spans="1:19">
      <c r="B62" s="77" t="str">
        <f ca="1">IF(COUNTIF(DDDiffs!C10:C900,"=Wrong Pick")&gt;0,"ATTENTION - There's a misspelled last name in one of the picks. Please scan the column C of the DDDiffs sheet to find it. Fix it in this sheet.","")</f>
        <v/>
      </c>
    </row>
    <row r="63" spans="1:19">
      <c r="A63" s="13"/>
      <c r="B63" s="44" t="str">
        <f>A2</f>
        <v>geangr</v>
      </c>
      <c r="C63" s="44" t="str">
        <f>B2</f>
        <v>A_Skywalker</v>
      </c>
      <c r="D63" s="44" t="str">
        <f>A3</f>
        <v>BYE</v>
      </c>
      <c r="E63" s="44" t="str">
        <f>B3</f>
        <v>BYE</v>
      </c>
      <c r="F63" s="44" t="str">
        <f>A4</f>
        <v>gabrieltufao</v>
      </c>
      <c r="G63" s="44" t="str">
        <f>B4</f>
        <v>igorpetrov</v>
      </c>
      <c r="H63" s="44" t="str">
        <f>A5</f>
        <v>hahaha7</v>
      </c>
      <c r="I63" s="44" t="str">
        <f>B5</f>
        <v>Superior1</v>
      </c>
      <c r="J63" s="44" t="str">
        <f>A6</f>
        <v>BrazilTBfan</v>
      </c>
      <c r="K63" s="44" t="str">
        <f>B6</f>
        <v>RNW</v>
      </c>
      <c r="L63" s="44" t="str">
        <f>A7</f>
        <v>Thales de Mileto</v>
      </c>
      <c r="M63" s="44" t="str">
        <f>B7</f>
        <v>AeronW</v>
      </c>
      <c r="N63" s="44" t="str">
        <f>A8</f>
        <v>Lazyking</v>
      </c>
      <c r="O63" s="44" t="str">
        <f>B8</f>
        <v>Southend Aussies</v>
      </c>
      <c r="P63" s="44" t="str">
        <f>A9</f>
        <v>Sauletekis</v>
      </c>
      <c r="Q63" s="44" t="str">
        <f>B9</f>
        <v>theKSHE</v>
      </c>
      <c r="R63" s="13"/>
    </row>
    <row r="64" spans="1:19">
      <c r="A64" s="5">
        <v>1</v>
      </c>
      <c r="B64" s="111" t="s">
        <v>235</v>
      </c>
      <c r="C64" s="78"/>
      <c r="D64" s="78"/>
      <c r="E64" s="78"/>
      <c r="F64" s="78"/>
      <c r="G64" s="78"/>
      <c r="H64" s="78"/>
      <c r="I64" s="78"/>
      <c r="J64" s="78"/>
      <c r="K64" s="111" t="s">
        <v>332</v>
      </c>
      <c r="L64" s="78"/>
      <c r="M64" s="111" t="s">
        <v>174</v>
      </c>
      <c r="N64" s="111" t="s">
        <v>251</v>
      </c>
      <c r="O64" s="111" t="s">
        <v>348</v>
      </c>
      <c r="P64" s="111" t="s">
        <v>267</v>
      </c>
      <c r="Q64" s="111" t="s">
        <v>318</v>
      </c>
      <c r="S64" s="5">
        <v>1</v>
      </c>
    </row>
    <row r="65" spans="1:19">
      <c r="A65" s="5">
        <v>2</v>
      </c>
      <c r="B65" s="111" t="s">
        <v>236</v>
      </c>
      <c r="C65" s="78"/>
      <c r="D65" s="78"/>
      <c r="E65" s="78"/>
      <c r="F65" s="78"/>
      <c r="G65" s="78"/>
      <c r="H65" s="78"/>
      <c r="I65" s="78"/>
      <c r="J65" s="78"/>
      <c r="K65" s="111" t="s">
        <v>333</v>
      </c>
      <c r="L65" s="78"/>
      <c r="M65" s="111" t="s">
        <v>313</v>
      </c>
      <c r="N65" s="111" t="s">
        <v>252</v>
      </c>
      <c r="O65" s="111" t="s">
        <v>349</v>
      </c>
      <c r="P65" s="111" t="s">
        <v>268</v>
      </c>
      <c r="Q65" s="111" t="s">
        <v>268</v>
      </c>
      <c r="S65" s="5">
        <v>2</v>
      </c>
    </row>
    <row r="66" spans="1:19">
      <c r="A66" s="5">
        <v>3</v>
      </c>
      <c r="B66" s="111" t="s">
        <v>237</v>
      </c>
      <c r="C66" s="78"/>
      <c r="D66" s="78"/>
      <c r="E66" s="78"/>
      <c r="F66" s="78"/>
      <c r="G66" s="78"/>
      <c r="H66" s="78"/>
      <c r="I66" s="78"/>
      <c r="J66" s="78"/>
      <c r="K66" s="111" t="s">
        <v>334</v>
      </c>
      <c r="L66" s="78"/>
      <c r="M66" s="111" t="s">
        <v>314</v>
      </c>
      <c r="N66" s="111" t="s">
        <v>253</v>
      </c>
      <c r="O66" s="111" t="s">
        <v>350</v>
      </c>
      <c r="P66" s="111" t="s">
        <v>269</v>
      </c>
      <c r="Q66" s="111" t="s">
        <v>269</v>
      </c>
      <c r="S66" s="5">
        <v>3</v>
      </c>
    </row>
    <row r="67" spans="1:19">
      <c r="A67" s="5">
        <v>4</v>
      </c>
      <c r="B67" s="111" t="s">
        <v>238</v>
      </c>
      <c r="C67" s="78"/>
      <c r="D67" s="78"/>
      <c r="E67" s="78"/>
      <c r="F67" s="78"/>
      <c r="G67" s="78"/>
      <c r="H67" s="78"/>
      <c r="I67" s="78"/>
      <c r="J67" s="78"/>
      <c r="K67" s="111" t="s">
        <v>335</v>
      </c>
      <c r="L67" s="78"/>
      <c r="M67" s="111" t="s">
        <v>315</v>
      </c>
      <c r="N67" s="111" t="s">
        <v>254</v>
      </c>
      <c r="O67" s="111" t="s">
        <v>351</v>
      </c>
      <c r="P67" s="111" t="s">
        <v>270</v>
      </c>
      <c r="Q67" s="111" t="s">
        <v>270</v>
      </c>
      <c r="S67" s="5">
        <v>4</v>
      </c>
    </row>
    <row r="68" spans="1:19">
      <c r="A68" s="5">
        <v>5</v>
      </c>
      <c r="B68" s="111" t="s">
        <v>239</v>
      </c>
      <c r="C68" s="78"/>
      <c r="D68" s="78"/>
      <c r="E68" s="78"/>
      <c r="F68" s="78"/>
      <c r="G68" s="78"/>
      <c r="H68" s="78"/>
      <c r="I68" s="78"/>
      <c r="J68" s="78"/>
      <c r="K68" s="111" t="s">
        <v>347</v>
      </c>
      <c r="L68" s="78"/>
      <c r="M68" s="111" t="s">
        <v>182</v>
      </c>
      <c r="N68" s="111" t="s">
        <v>255</v>
      </c>
      <c r="O68" s="111" t="s">
        <v>352</v>
      </c>
      <c r="P68" s="111" t="s">
        <v>271</v>
      </c>
      <c r="Q68" s="111" t="s">
        <v>271</v>
      </c>
      <c r="S68" s="5">
        <v>5</v>
      </c>
    </row>
    <row r="69" spans="1:19">
      <c r="A69" s="5">
        <v>6</v>
      </c>
      <c r="B69" s="111" t="s">
        <v>240</v>
      </c>
      <c r="C69" s="78"/>
      <c r="D69" s="78"/>
      <c r="E69" s="78"/>
      <c r="F69" s="78"/>
      <c r="G69" s="78"/>
      <c r="H69" s="78"/>
      <c r="I69" s="78"/>
      <c r="J69" s="78"/>
      <c r="K69" s="111" t="s">
        <v>336</v>
      </c>
      <c r="L69" s="78"/>
      <c r="M69" s="111" t="s">
        <v>316</v>
      </c>
      <c r="N69" s="111" t="s">
        <v>256</v>
      </c>
      <c r="O69" s="111" t="s">
        <v>353</v>
      </c>
      <c r="P69" s="111" t="s">
        <v>272</v>
      </c>
      <c r="Q69" s="111" t="s">
        <v>272</v>
      </c>
      <c r="S69" s="5">
        <v>6</v>
      </c>
    </row>
    <row r="70" spans="1:19">
      <c r="A70" s="5">
        <v>7</v>
      </c>
      <c r="B70" s="111" t="s">
        <v>241</v>
      </c>
      <c r="C70" s="78"/>
      <c r="D70" s="78"/>
      <c r="E70" s="78"/>
      <c r="F70" s="78"/>
      <c r="G70" s="78"/>
      <c r="H70" s="78"/>
      <c r="I70" s="78"/>
      <c r="J70" s="78"/>
      <c r="K70" s="111" t="s">
        <v>337</v>
      </c>
      <c r="L70" s="78"/>
      <c r="M70" s="111" t="s">
        <v>317</v>
      </c>
      <c r="N70" s="111" t="s">
        <v>257</v>
      </c>
      <c r="O70" s="111" t="s">
        <v>354</v>
      </c>
      <c r="P70" s="111" t="s">
        <v>273</v>
      </c>
      <c r="Q70" s="111" t="s">
        <v>273</v>
      </c>
      <c r="S70" s="5">
        <v>7</v>
      </c>
    </row>
    <row r="71" spans="1:19">
      <c r="A71" s="5">
        <v>8</v>
      </c>
      <c r="B71" s="111" t="s">
        <v>242</v>
      </c>
      <c r="C71" s="78"/>
      <c r="D71" s="78"/>
      <c r="E71" s="78"/>
      <c r="F71" s="78"/>
      <c r="G71" s="78"/>
      <c r="H71" s="78"/>
      <c r="I71" s="78"/>
      <c r="J71" s="78"/>
      <c r="K71" s="111" t="s">
        <v>338</v>
      </c>
      <c r="L71" s="78"/>
      <c r="M71" s="111" t="s">
        <v>189</v>
      </c>
      <c r="N71" s="111" t="s">
        <v>258</v>
      </c>
      <c r="O71" s="111" t="s">
        <v>325</v>
      </c>
      <c r="P71" s="111" t="s">
        <v>274</v>
      </c>
      <c r="Q71" s="111" t="s">
        <v>274</v>
      </c>
      <c r="S71" s="5">
        <v>8</v>
      </c>
    </row>
    <row r="72" spans="1:19">
      <c r="A72" s="5">
        <v>9</v>
      </c>
      <c r="B72" s="111" t="s">
        <v>243</v>
      </c>
      <c r="C72" s="78"/>
      <c r="D72" s="78"/>
      <c r="E72" s="78"/>
      <c r="F72" s="78"/>
      <c r="G72" s="78"/>
      <c r="H72" s="78"/>
      <c r="I72" s="78"/>
      <c r="J72" s="78"/>
      <c r="K72" s="111" t="s">
        <v>339</v>
      </c>
      <c r="L72" s="78"/>
      <c r="M72" s="111" t="s">
        <v>190</v>
      </c>
      <c r="N72" s="111" t="s">
        <v>259</v>
      </c>
      <c r="O72" s="111" t="s">
        <v>355</v>
      </c>
      <c r="P72" s="111" t="s">
        <v>275</v>
      </c>
      <c r="Q72" s="111" t="s">
        <v>275</v>
      </c>
      <c r="S72" s="5">
        <v>9</v>
      </c>
    </row>
    <row r="73" spans="1:19">
      <c r="A73" s="5">
        <v>10</v>
      </c>
      <c r="B73" s="111" t="s">
        <v>244</v>
      </c>
      <c r="C73" s="78"/>
      <c r="D73" s="78"/>
      <c r="E73" s="78"/>
      <c r="F73" s="78"/>
      <c r="G73" s="78"/>
      <c r="H73" s="78"/>
      <c r="I73" s="78"/>
      <c r="J73" s="78"/>
      <c r="K73" s="111" t="s">
        <v>340</v>
      </c>
      <c r="L73" s="78"/>
      <c r="M73" s="111" t="s">
        <v>192</v>
      </c>
      <c r="N73" s="111" t="s">
        <v>260</v>
      </c>
      <c r="O73" s="111" t="s">
        <v>276</v>
      </c>
      <c r="P73" s="111" t="s">
        <v>276</v>
      </c>
      <c r="Q73" s="111" t="s">
        <v>276</v>
      </c>
      <c r="S73" s="5">
        <v>10</v>
      </c>
    </row>
    <row r="74" spans="1:19">
      <c r="A74" s="5">
        <v>11</v>
      </c>
      <c r="B74" s="111" t="s">
        <v>245</v>
      </c>
      <c r="C74" s="78"/>
      <c r="D74" s="78"/>
      <c r="E74" s="78"/>
      <c r="F74" s="78"/>
      <c r="G74" s="78"/>
      <c r="H74" s="78"/>
      <c r="I74" s="78"/>
      <c r="J74" s="78"/>
      <c r="K74" s="111" t="s">
        <v>341</v>
      </c>
      <c r="L74" s="78"/>
      <c r="M74" s="111" t="s">
        <v>194</v>
      </c>
      <c r="N74" s="111" t="s">
        <v>261</v>
      </c>
      <c r="O74" s="111" t="s">
        <v>328</v>
      </c>
      <c r="P74" s="111" t="s">
        <v>277</v>
      </c>
      <c r="Q74" s="111" t="s">
        <v>277</v>
      </c>
      <c r="S74" s="5">
        <v>11</v>
      </c>
    </row>
    <row r="75" spans="1:19">
      <c r="A75" s="5">
        <v>12</v>
      </c>
      <c r="B75" s="111" t="s">
        <v>246</v>
      </c>
      <c r="C75" s="78"/>
      <c r="D75" s="78"/>
      <c r="E75" s="78"/>
      <c r="F75" s="78"/>
      <c r="G75" s="78"/>
      <c r="H75" s="78"/>
      <c r="I75" s="78"/>
      <c r="J75" s="78"/>
      <c r="K75" s="111" t="s">
        <v>342</v>
      </c>
      <c r="L75" s="78"/>
      <c r="M75" s="111" t="s">
        <v>197</v>
      </c>
      <c r="N75" s="111" t="s">
        <v>262</v>
      </c>
      <c r="O75" s="111" t="s">
        <v>356</v>
      </c>
      <c r="P75" s="111" t="s">
        <v>278</v>
      </c>
      <c r="Q75" s="111" t="s">
        <v>278</v>
      </c>
      <c r="S75" s="5">
        <v>12</v>
      </c>
    </row>
    <row r="76" spans="1:19">
      <c r="A76" s="5">
        <v>13</v>
      </c>
      <c r="B76" s="111" t="s">
        <v>247</v>
      </c>
      <c r="C76" s="78"/>
      <c r="D76" s="78"/>
      <c r="E76" s="78"/>
      <c r="F76" s="78"/>
      <c r="G76" s="78"/>
      <c r="H76" s="78"/>
      <c r="I76" s="78"/>
      <c r="J76" s="78"/>
      <c r="K76" s="111" t="s">
        <v>343</v>
      </c>
      <c r="L76" s="78"/>
      <c r="M76" s="111" t="s">
        <v>199</v>
      </c>
      <c r="N76" s="111" t="s">
        <v>263</v>
      </c>
      <c r="O76" s="111" t="s">
        <v>357</v>
      </c>
      <c r="P76" s="111" t="s">
        <v>279</v>
      </c>
      <c r="Q76" s="111" t="s">
        <v>279</v>
      </c>
      <c r="S76" s="5">
        <v>13</v>
      </c>
    </row>
    <row r="77" spans="1:19">
      <c r="A77" s="5">
        <v>14</v>
      </c>
      <c r="B77" s="111" t="s">
        <v>248</v>
      </c>
      <c r="C77" s="78"/>
      <c r="D77" s="78"/>
      <c r="E77" s="78"/>
      <c r="F77" s="78"/>
      <c r="G77" s="78"/>
      <c r="H77" s="78"/>
      <c r="I77" s="78"/>
      <c r="J77" s="78"/>
      <c r="K77" s="111" t="s">
        <v>344</v>
      </c>
      <c r="L77" s="78"/>
      <c r="M77" s="111" t="s">
        <v>200</v>
      </c>
      <c r="N77" s="111" t="s">
        <v>264</v>
      </c>
      <c r="O77" s="111" t="s">
        <v>358</v>
      </c>
      <c r="P77" s="111" t="s">
        <v>280</v>
      </c>
      <c r="Q77" s="111" t="s">
        <v>280</v>
      </c>
      <c r="S77" s="5">
        <v>14</v>
      </c>
    </row>
    <row r="78" spans="1:19">
      <c r="A78" s="5">
        <v>15</v>
      </c>
      <c r="B78" s="111" t="s">
        <v>249</v>
      </c>
      <c r="C78" s="78"/>
      <c r="D78" s="78"/>
      <c r="E78" s="78"/>
      <c r="F78" s="78"/>
      <c r="G78" s="78"/>
      <c r="H78" s="78"/>
      <c r="I78" s="78"/>
      <c r="J78" s="78"/>
      <c r="K78" s="111" t="s">
        <v>345</v>
      </c>
      <c r="L78" s="78"/>
      <c r="M78" s="111" t="s">
        <v>200</v>
      </c>
      <c r="N78" s="111" t="s">
        <v>265</v>
      </c>
      <c r="O78" s="111" t="s">
        <v>359</v>
      </c>
      <c r="P78" s="111" t="s">
        <v>281</v>
      </c>
      <c r="Q78" s="111" t="s">
        <v>281</v>
      </c>
      <c r="S78" s="5">
        <v>15</v>
      </c>
    </row>
    <row r="79" spans="1:19">
      <c r="A79" s="5">
        <v>16</v>
      </c>
      <c r="B79" s="111" t="s">
        <v>250</v>
      </c>
      <c r="C79" s="78"/>
      <c r="D79" s="78"/>
      <c r="E79" s="78"/>
      <c r="F79" s="78"/>
      <c r="G79" s="78"/>
      <c r="H79" s="78"/>
      <c r="I79" s="78"/>
      <c r="J79" s="78"/>
      <c r="K79" s="111" t="s">
        <v>346</v>
      </c>
      <c r="L79" s="78"/>
      <c r="M79" s="111" t="s">
        <v>203</v>
      </c>
      <c r="N79" s="111" t="s">
        <v>266</v>
      </c>
      <c r="O79" s="111" t="s">
        <v>360</v>
      </c>
      <c r="P79" s="111" t="s">
        <v>282</v>
      </c>
      <c r="Q79" s="111" t="s">
        <v>282</v>
      </c>
      <c r="S79" s="5">
        <v>16</v>
      </c>
    </row>
    <row r="80" spans="1:19">
      <c r="A80" s="5">
        <v>17</v>
      </c>
      <c r="B80" s="78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78"/>
    </row>
    <row r="81" spans="1:19">
      <c r="A81" s="5">
        <v>18</v>
      </c>
      <c r="B81" s="78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78"/>
    </row>
    <row r="82" spans="1:19">
      <c r="A82" s="5">
        <v>19</v>
      </c>
      <c r="B82" s="78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78"/>
    </row>
    <row r="83" spans="1:19">
      <c r="A83" s="5">
        <v>20</v>
      </c>
      <c r="B83" s="78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78"/>
    </row>
    <row r="84" spans="1:19">
      <c r="A84" s="5">
        <v>21</v>
      </c>
      <c r="B84" s="78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78"/>
    </row>
    <row r="85" spans="1:19">
      <c r="A85" s="5">
        <v>22</v>
      </c>
      <c r="B85" s="78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78"/>
    </row>
    <row r="86" spans="1:19">
      <c r="A86" s="5">
        <v>23</v>
      </c>
      <c r="B86" s="78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78"/>
    </row>
    <row r="87" spans="1:19">
      <c r="A87" s="5">
        <v>24</v>
      </c>
      <c r="B87" s="78"/>
      <c r="C87" s="78"/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</row>
    <row r="89" spans="1:19">
      <c r="B89" s="77" t="str">
        <f ca="1">IF(COUNTIF(DDDiffs!C10:C900,"=Wrong Pick")&gt;0,"ATTENTION - There's a misspelled last name in one of the picks. Please scan the column C of the DDDiffs sheet to find it. Fix it in this sheet.","")</f>
        <v/>
      </c>
    </row>
    <row r="90" spans="1:19">
      <c r="A90" s="13"/>
      <c r="B90" s="44">
        <f>A10</f>
        <v>0</v>
      </c>
      <c r="C90" s="44">
        <f>B10</f>
        <v>0</v>
      </c>
      <c r="D90" s="44">
        <f>A11</f>
        <v>0</v>
      </c>
      <c r="E90" s="44">
        <f>B11</f>
        <v>0</v>
      </c>
      <c r="F90" s="44">
        <f>A12</f>
        <v>0</v>
      </c>
      <c r="G90" s="44">
        <f>B12</f>
        <v>0</v>
      </c>
      <c r="H90" s="79">
        <f>A13</f>
        <v>0</v>
      </c>
      <c r="I90" s="44">
        <f>B13</f>
        <v>0</v>
      </c>
      <c r="J90" s="44">
        <f>A14</f>
        <v>0</v>
      </c>
      <c r="K90" s="44">
        <f>B14</f>
        <v>0</v>
      </c>
      <c r="L90" s="44">
        <f>A15</f>
        <v>0</v>
      </c>
      <c r="M90" s="44">
        <f>B15</f>
        <v>0</v>
      </c>
      <c r="N90" s="44">
        <f>A16</f>
        <v>0</v>
      </c>
      <c r="O90" s="44">
        <f>B16</f>
        <v>0</v>
      </c>
      <c r="P90" s="44">
        <f>A17</f>
        <v>0</v>
      </c>
      <c r="Q90" s="44">
        <f>B17</f>
        <v>0</v>
      </c>
    </row>
    <row r="91" spans="1:19">
      <c r="A91" s="5">
        <v>1</v>
      </c>
      <c r="B91" s="78" t="str">
        <f ca="1">IF(Singles!$B$36="Yes",IF(ISERROR(MATCH(INDIRECT(ADDRESS(ROW(B91)-MOD(ROW(B91)-63,27),COLUMN(B91),4)),Singles!$A$2:$A$33,0)),"",IF(INDIRECT("Singles."&amp;ADDRESS(QUOTIENT(MATCH(INDIRECT(ADDRESS(ROW(B91)-MOD(ROW(B91)-63,27),COLUMN(B91),4)),Singles!$A$2:$A$33,0)-1,16)*18+94+$S91,MOD(MATCH(INDIRECT(ADDRESS(ROW(B91)-MOD(ROW(B91)-63,27),COLUMN(B91),4)),Singles!$A$2:$A$33,0)-1,16)+2,4))="","",INDIRECT("Singles."&amp;ADDRESS(QUOTIENT(MATCH(INDIRECT(ADDRESS(ROW(B91)-MOD(ROW(B91)-63,27),COLUMN(B91),4)),Singles!$A$2:$A$33,0)-1,16)*18+94+$S91,MOD(MATCH(INDIRECT(ADDRESS(ROW(B91)-MOD(ROW(B91)-63,27),COLUMN(B91),4)),Singles!$A$2:$A$33,0)-1,16)+2,4)))),"")</f>
        <v/>
      </c>
      <c r="C91" s="78" t="str">
        <f ca="1">IF(Singles!$B$36="Yes",IF(ISERROR(MATCH(INDIRECT(ADDRESS(ROW(C91)-MOD(ROW(C91)-63,27),COLUMN(C91),4)),Singles!$A$2:$A$33,0)),"",IF(INDIRECT("Singles."&amp;ADDRESS(QUOTIENT(MATCH(INDIRECT(ADDRESS(ROW(C91)-MOD(ROW(C91)-63,27),COLUMN(C91),4)),Singles!$A$2:$A$33,0)-1,16)*18+94+$S91,MOD(MATCH(INDIRECT(ADDRESS(ROW(C91)-MOD(ROW(C91)-63,27),COLUMN(C91),4)),Singles!$A$2:$A$33,0)-1,16)+2,4))="","",INDIRECT("Singles."&amp;ADDRESS(QUOTIENT(MATCH(INDIRECT(ADDRESS(ROW(C91)-MOD(ROW(C91)-63,27),COLUMN(C91),4)),Singles!$A$2:$A$33,0)-1,16)*18+94+$S91,MOD(MATCH(INDIRECT(ADDRESS(ROW(C91)-MOD(ROW(C91)-63,27),COLUMN(C91),4)),Singles!$A$2:$A$33,0)-1,16)+2,4)))),"")</f>
        <v/>
      </c>
      <c r="D91" s="78" t="str">
        <f ca="1">IF(Singles!$B$36="Yes",IF(ISERROR(MATCH(INDIRECT(ADDRESS(ROW(D91)-MOD(ROW(D91)-63,27),COLUMN(D91),4)),Singles!$A$2:$A$33,0)),"",IF(INDIRECT("Singles."&amp;ADDRESS(QUOTIENT(MATCH(INDIRECT(ADDRESS(ROW(D91)-MOD(ROW(D91)-63,27),COLUMN(D91),4)),Singles!$A$2:$A$33,0)-1,16)*18+94+$S91,MOD(MATCH(INDIRECT(ADDRESS(ROW(D91)-MOD(ROW(D91)-63,27),COLUMN(D91),4)),Singles!$A$2:$A$33,0)-1,16)+2,4))="","",INDIRECT("Singles."&amp;ADDRESS(QUOTIENT(MATCH(INDIRECT(ADDRESS(ROW(D91)-MOD(ROW(D91)-63,27),COLUMN(D91),4)),Singles!$A$2:$A$33,0)-1,16)*18+94+$S91,MOD(MATCH(INDIRECT(ADDRESS(ROW(D91)-MOD(ROW(D91)-63,27),COLUMN(D91),4)),Singles!$A$2:$A$33,0)-1,16)+2,4)))),"")</f>
        <v/>
      </c>
      <c r="E91" s="78" t="str">
        <f ca="1">IF(Singles!$B$36="Yes",IF(ISERROR(MATCH(INDIRECT(ADDRESS(ROW(E91)-MOD(ROW(E91)-63,27),COLUMN(E91),4)),Singles!$A$2:$A$33,0)),"",IF(INDIRECT("Singles."&amp;ADDRESS(QUOTIENT(MATCH(INDIRECT(ADDRESS(ROW(E91)-MOD(ROW(E91)-63,27),COLUMN(E91),4)),Singles!$A$2:$A$33,0)-1,16)*18+94+$S91,MOD(MATCH(INDIRECT(ADDRESS(ROW(E91)-MOD(ROW(E91)-63,27),COLUMN(E91),4)),Singles!$A$2:$A$33,0)-1,16)+2,4))="","",INDIRECT("Singles."&amp;ADDRESS(QUOTIENT(MATCH(INDIRECT(ADDRESS(ROW(E91)-MOD(ROW(E91)-63,27),COLUMN(E91),4)),Singles!$A$2:$A$33,0)-1,16)*18+94+$S91,MOD(MATCH(INDIRECT(ADDRESS(ROW(E91)-MOD(ROW(E91)-63,27),COLUMN(E91),4)),Singles!$A$2:$A$33,0)-1,16)+2,4)))),"")</f>
        <v/>
      </c>
      <c r="F91" s="78" t="str">
        <f ca="1">IF(Singles!$B$36="Yes",IF(ISERROR(MATCH(INDIRECT(ADDRESS(ROW(F91)-MOD(ROW(F91)-63,27),COLUMN(F91),4)),Singles!$A$2:$A$33,0)),"",IF(INDIRECT("Singles."&amp;ADDRESS(QUOTIENT(MATCH(INDIRECT(ADDRESS(ROW(F91)-MOD(ROW(F91)-63,27),COLUMN(F91),4)),Singles!$A$2:$A$33,0)-1,16)*18+94+$S91,MOD(MATCH(INDIRECT(ADDRESS(ROW(F91)-MOD(ROW(F91)-63,27),COLUMN(F91),4)),Singles!$A$2:$A$33,0)-1,16)+2,4))="","",INDIRECT("Singles."&amp;ADDRESS(QUOTIENT(MATCH(INDIRECT(ADDRESS(ROW(F91)-MOD(ROW(F91)-63,27),COLUMN(F91),4)),Singles!$A$2:$A$33,0)-1,16)*18+94+$S91,MOD(MATCH(INDIRECT(ADDRESS(ROW(F91)-MOD(ROW(F91)-63,27),COLUMN(F91),4)),Singles!$A$2:$A$33,0)-1,16)+2,4)))),"")</f>
        <v/>
      </c>
      <c r="G91" s="78" t="str">
        <f ca="1">IF(Singles!$B$36="Yes",IF(ISERROR(MATCH(INDIRECT(ADDRESS(ROW(G91)-MOD(ROW(G91)-63,27),COLUMN(G91),4)),Singles!$A$2:$A$33,0)),"",IF(INDIRECT("Singles."&amp;ADDRESS(QUOTIENT(MATCH(INDIRECT(ADDRESS(ROW(G91)-MOD(ROW(G91)-63,27),COLUMN(G91),4)),Singles!$A$2:$A$33,0)-1,16)*18+94+$S91,MOD(MATCH(INDIRECT(ADDRESS(ROW(G91)-MOD(ROW(G91)-63,27),COLUMN(G91),4)),Singles!$A$2:$A$33,0)-1,16)+2,4))="","",INDIRECT("Singles."&amp;ADDRESS(QUOTIENT(MATCH(INDIRECT(ADDRESS(ROW(G91)-MOD(ROW(G91)-63,27),COLUMN(G91),4)),Singles!$A$2:$A$33,0)-1,16)*18+94+$S91,MOD(MATCH(INDIRECT(ADDRESS(ROW(G91)-MOD(ROW(G91)-63,27),COLUMN(G91),4)),Singles!$A$2:$A$33,0)-1,16)+2,4)))),"")</f>
        <v/>
      </c>
      <c r="H91" s="78" t="str">
        <f ca="1">IF(Singles!$B$36="Yes",IF(ISERROR(MATCH(INDIRECT(ADDRESS(ROW(H91)-MOD(ROW(H91)-63,27),COLUMN(H91),4)),Singles!$A$2:$A$33,0)),"",IF(INDIRECT("Singles."&amp;ADDRESS(QUOTIENT(MATCH(INDIRECT(ADDRESS(ROW(H91)-MOD(ROW(H91)-63,27),COLUMN(H91),4)),Singles!$A$2:$A$33,0)-1,16)*18+94+$S91,MOD(MATCH(INDIRECT(ADDRESS(ROW(H91)-MOD(ROW(H91)-63,27),COLUMN(H91),4)),Singles!$A$2:$A$33,0)-1,16)+2,4))="","",INDIRECT("Singles."&amp;ADDRESS(QUOTIENT(MATCH(INDIRECT(ADDRESS(ROW(H91)-MOD(ROW(H91)-63,27),COLUMN(H91),4)),Singles!$A$2:$A$33,0)-1,16)*18+94+$S91,MOD(MATCH(INDIRECT(ADDRESS(ROW(H91)-MOD(ROW(H91)-63,27),COLUMN(H91),4)),Singles!$A$2:$A$33,0)-1,16)+2,4)))),"")</f>
        <v/>
      </c>
      <c r="I91" s="78" t="str">
        <f ca="1">IF(Singles!$B$36="Yes",IF(ISERROR(MATCH(INDIRECT(ADDRESS(ROW(I91)-MOD(ROW(I91)-63,27),COLUMN(I91),4)),Singles!$A$2:$A$33,0)),"",IF(INDIRECT("Singles."&amp;ADDRESS(QUOTIENT(MATCH(INDIRECT(ADDRESS(ROW(I91)-MOD(ROW(I91)-63,27),COLUMN(I91),4)),Singles!$A$2:$A$33,0)-1,16)*18+94+$S91,MOD(MATCH(INDIRECT(ADDRESS(ROW(I91)-MOD(ROW(I91)-63,27),COLUMN(I91),4)),Singles!$A$2:$A$33,0)-1,16)+2,4))="","",INDIRECT("Singles."&amp;ADDRESS(QUOTIENT(MATCH(INDIRECT(ADDRESS(ROW(I91)-MOD(ROW(I91)-63,27),COLUMN(I91),4)),Singles!$A$2:$A$33,0)-1,16)*18+94+$S91,MOD(MATCH(INDIRECT(ADDRESS(ROW(I91)-MOD(ROW(I91)-63,27),COLUMN(I91),4)),Singles!$A$2:$A$33,0)-1,16)+2,4)))),"")</f>
        <v/>
      </c>
      <c r="J91" s="78" t="str">
        <f ca="1">IF(Singles!$B$36="Yes",IF(ISERROR(MATCH(INDIRECT(ADDRESS(ROW(J91)-MOD(ROW(J91)-63,27),COLUMN(J91),4)),Singles!$A$2:$A$33,0)),"",IF(INDIRECT("Singles."&amp;ADDRESS(QUOTIENT(MATCH(INDIRECT(ADDRESS(ROW(J91)-MOD(ROW(J91)-63,27),COLUMN(J91),4)),Singles!$A$2:$A$33,0)-1,16)*18+94+$S91,MOD(MATCH(INDIRECT(ADDRESS(ROW(J91)-MOD(ROW(J91)-63,27),COLUMN(J91),4)),Singles!$A$2:$A$33,0)-1,16)+2,4))="","",INDIRECT("Singles."&amp;ADDRESS(QUOTIENT(MATCH(INDIRECT(ADDRESS(ROW(J91)-MOD(ROW(J91)-63,27),COLUMN(J91),4)),Singles!$A$2:$A$33,0)-1,16)*18+94+$S91,MOD(MATCH(INDIRECT(ADDRESS(ROW(J91)-MOD(ROW(J91)-63,27),COLUMN(J91),4)),Singles!$A$2:$A$33,0)-1,16)+2,4)))),"")</f>
        <v/>
      </c>
      <c r="K91" s="78" t="str">
        <f ca="1">IF(Singles!$B$36="Yes",IF(ISERROR(MATCH(INDIRECT(ADDRESS(ROW(K91)-MOD(ROW(K91)-63,27),COLUMN(K91),4)),Singles!$A$2:$A$33,0)),"",IF(INDIRECT("Singles."&amp;ADDRESS(QUOTIENT(MATCH(INDIRECT(ADDRESS(ROW(K91)-MOD(ROW(K91)-63,27),COLUMN(K91),4)),Singles!$A$2:$A$33,0)-1,16)*18+94+$S91,MOD(MATCH(INDIRECT(ADDRESS(ROW(K91)-MOD(ROW(K91)-63,27),COLUMN(K91),4)),Singles!$A$2:$A$33,0)-1,16)+2,4))="","",INDIRECT("Singles."&amp;ADDRESS(QUOTIENT(MATCH(INDIRECT(ADDRESS(ROW(K91)-MOD(ROW(K91)-63,27),COLUMN(K91),4)),Singles!$A$2:$A$33,0)-1,16)*18+94+$S91,MOD(MATCH(INDIRECT(ADDRESS(ROW(K91)-MOD(ROW(K91)-63,27),COLUMN(K91),4)),Singles!$A$2:$A$33,0)-1,16)+2,4)))),"")</f>
        <v/>
      </c>
      <c r="L91" s="78" t="str">
        <f ca="1">IF(Singles!$B$36="Yes",IF(ISERROR(MATCH(INDIRECT(ADDRESS(ROW(L91)-MOD(ROW(L91)-63,27),COLUMN(L91),4)),Singles!$A$2:$A$33,0)),"",IF(INDIRECT("Singles."&amp;ADDRESS(QUOTIENT(MATCH(INDIRECT(ADDRESS(ROW(L91)-MOD(ROW(L91)-63,27),COLUMN(L91),4)),Singles!$A$2:$A$33,0)-1,16)*18+94+$S91,MOD(MATCH(INDIRECT(ADDRESS(ROW(L91)-MOD(ROW(L91)-63,27),COLUMN(L91),4)),Singles!$A$2:$A$33,0)-1,16)+2,4))="","",INDIRECT("Singles."&amp;ADDRESS(QUOTIENT(MATCH(INDIRECT(ADDRESS(ROW(L91)-MOD(ROW(L91)-63,27),COLUMN(L91),4)),Singles!$A$2:$A$33,0)-1,16)*18+94+$S91,MOD(MATCH(INDIRECT(ADDRESS(ROW(L91)-MOD(ROW(L91)-63,27),COLUMN(L91),4)),Singles!$A$2:$A$33,0)-1,16)+2,4)))),"")</f>
        <v/>
      </c>
      <c r="M91" s="78" t="str">
        <f ca="1">IF(Singles!$B$36="Yes",IF(ISERROR(MATCH(INDIRECT(ADDRESS(ROW(M91)-MOD(ROW(M91)-63,27),COLUMN(M91),4)),Singles!$A$2:$A$33,0)),"",IF(INDIRECT("Singles."&amp;ADDRESS(QUOTIENT(MATCH(INDIRECT(ADDRESS(ROW(M91)-MOD(ROW(M91)-63,27),COLUMN(M91),4)),Singles!$A$2:$A$33,0)-1,16)*18+94+$S91,MOD(MATCH(INDIRECT(ADDRESS(ROW(M91)-MOD(ROW(M91)-63,27),COLUMN(M91),4)),Singles!$A$2:$A$33,0)-1,16)+2,4))="","",INDIRECT("Singles."&amp;ADDRESS(QUOTIENT(MATCH(INDIRECT(ADDRESS(ROW(M91)-MOD(ROW(M91)-63,27),COLUMN(M91),4)),Singles!$A$2:$A$33,0)-1,16)*18+94+$S91,MOD(MATCH(INDIRECT(ADDRESS(ROW(M91)-MOD(ROW(M91)-63,27),COLUMN(M91),4)),Singles!$A$2:$A$33,0)-1,16)+2,4)))),"")</f>
        <v/>
      </c>
      <c r="N91" s="78" t="str">
        <f ca="1">IF(Singles!$B$36="Yes",IF(ISERROR(MATCH(INDIRECT(ADDRESS(ROW(N91)-MOD(ROW(N91)-63,27),COLUMN(N91),4)),Singles!$A$2:$A$33,0)),"",IF(INDIRECT("Singles."&amp;ADDRESS(QUOTIENT(MATCH(INDIRECT(ADDRESS(ROW(N91)-MOD(ROW(N91)-63,27),COLUMN(N91),4)),Singles!$A$2:$A$33,0)-1,16)*18+94+$S91,MOD(MATCH(INDIRECT(ADDRESS(ROW(N91)-MOD(ROW(N91)-63,27),COLUMN(N91),4)),Singles!$A$2:$A$33,0)-1,16)+2,4))="","",INDIRECT("Singles."&amp;ADDRESS(QUOTIENT(MATCH(INDIRECT(ADDRESS(ROW(N91)-MOD(ROW(N91)-63,27),COLUMN(N91),4)),Singles!$A$2:$A$33,0)-1,16)*18+94+$S91,MOD(MATCH(INDIRECT(ADDRESS(ROW(N91)-MOD(ROW(N91)-63,27),COLUMN(N91),4)),Singles!$A$2:$A$33,0)-1,16)+2,4)))),"")</f>
        <v/>
      </c>
      <c r="O91" s="78" t="str">
        <f ca="1">IF(Singles!$B$36="Yes",IF(ISERROR(MATCH(INDIRECT(ADDRESS(ROW(O91)-MOD(ROW(O91)-63,27),COLUMN(O91),4)),Singles!$A$2:$A$33,0)),"",IF(INDIRECT("Singles."&amp;ADDRESS(QUOTIENT(MATCH(INDIRECT(ADDRESS(ROW(O91)-MOD(ROW(O91)-63,27),COLUMN(O91),4)),Singles!$A$2:$A$33,0)-1,16)*18+94+$S91,MOD(MATCH(INDIRECT(ADDRESS(ROW(O91)-MOD(ROW(O91)-63,27),COLUMN(O91),4)),Singles!$A$2:$A$33,0)-1,16)+2,4))="","",INDIRECT("Singles."&amp;ADDRESS(QUOTIENT(MATCH(INDIRECT(ADDRESS(ROW(O91)-MOD(ROW(O91)-63,27),COLUMN(O91),4)),Singles!$A$2:$A$33,0)-1,16)*18+94+$S91,MOD(MATCH(INDIRECT(ADDRESS(ROW(O91)-MOD(ROW(O91)-63,27),COLUMN(O91),4)),Singles!$A$2:$A$33,0)-1,16)+2,4)))),"")</f>
        <v/>
      </c>
      <c r="P91" s="78" t="str">
        <f ca="1">IF(Singles!$B$36="Yes",IF(ISERROR(MATCH(INDIRECT(ADDRESS(ROW(P91)-MOD(ROW(P91)-63,27),COLUMN(P91),4)),Singles!$A$2:$A$33,0)),"",IF(INDIRECT("Singles."&amp;ADDRESS(QUOTIENT(MATCH(INDIRECT(ADDRESS(ROW(P91)-MOD(ROW(P91)-63,27),COLUMN(P91),4)),Singles!$A$2:$A$33,0)-1,16)*18+94+$S91,MOD(MATCH(INDIRECT(ADDRESS(ROW(P91)-MOD(ROW(P91)-63,27),COLUMN(P91),4)),Singles!$A$2:$A$33,0)-1,16)+2,4))="","",INDIRECT("Singles."&amp;ADDRESS(QUOTIENT(MATCH(INDIRECT(ADDRESS(ROW(P91)-MOD(ROW(P91)-63,27),COLUMN(P91),4)),Singles!$A$2:$A$33,0)-1,16)*18+94+$S91,MOD(MATCH(INDIRECT(ADDRESS(ROW(P91)-MOD(ROW(P91)-63,27),COLUMN(P91),4)),Singles!$A$2:$A$33,0)-1,16)+2,4)))),"")</f>
        <v/>
      </c>
      <c r="Q91" s="78" t="str">
        <f ca="1">IF(Singles!$B$36="Yes",IF(ISERROR(MATCH(INDIRECT(ADDRESS(ROW(Q91)-MOD(ROW(Q91)-63,27),COLUMN(Q91),4)),Singles!$A$2:$A$33,0)),"",IF(INDIRECT("Singles."&amp;ADDRESS(QUOTIENT(MATCH(INDIRECT(ADDRESS(ROW(Q91)-MOD(ROW(Q91)-63,27),COLUMN(Q91),4)),Singles!$A$2:$A$33,0)-1,16)*18+94+$S91,MOD(MATCH(INDIRECT(ADDRESS(ROW(Q91)-MOD(ROW(Q91)-63,27),COLUMN(Q91),4)),Singles!$A$2:$A$33,0)-1,16)+2,4))="","",INDIRECT("Singles."&amp;ADDRESS(QUOTIENT(MATCH(INDIRECT(ADDRESS(ROW(Q91)-MOD(ROW(Q91)-63,27),COLUMN(Q91),4)),Singles!$A$2:$A$33,0)-1,16)*18+94+$S91,MOD(MATCH(INDIRECT(ADDRESS(ROW(Q91)-MOD(ROW(Q91)-63,27),COLUMN(Q91),4)),Singles!$A$2:$A$33,0)-1,16)+2,4)))),"")</f>
        <v/>
      </c>
      <c r="S91" s="5">
        <v>1</v>
      </c>
    </row>
    <row r="92" spans="1:19">
      <c r="A92" s="5">
        <v>2</v>
      </c>
      <c r="B92" s="78" t="str">
        <f ca="1">IF(Singles!$B$36="Yes",IF(ISERROR(MATCH(INDIRECT(ADDRESS(ROW(B92)-MOD(ROW(B92)-63,27),COLUMN(B92),4)),Singles!$A$2:$A$33,0)),"",IF(INDIRECT("Singles."&amp;ADDRESS(QUOTIENT(MATCH(INDIRECT(ADDRESS(ROW(B92)-MOD(ROW(B92)-63,27),COLUMN(B92),4)),Singles!$A$2:$A$33,0)-1,16)*18+94+$S92,MOD(MATCH(INDIRECT(ADDRESS(ROW(B92)-MOD(ROW(B92)-63,27),COLUMN(B92),4)),Singles!$A$2:$A$33,0)-1,16)+2,4))="","",INDIRECT("Singles."&amp;ADDRESS(QUOTIENT(MATCH(INDIRECT(ADDRESS(ROW(B92)-MOD(ROW(B92)-63,27),COLUMN(B92),4)),Singles!$A$2:$A$33,0)-1,16)*18+94+$S92,MOD(MATCH(INDIRECT(ADDRESS(ROW(B92)-MOD(ROW(B92)-63,27),COLUMN(B92),4)),Singles!$A$2:$A$33,0)-1,16)+2,4)))),"")</f>
        <v/>
      </c>
      <c r="C92" s="78" t="str">
        <f ca="1">IF(Singles!$B$36="Yes",IF(ISERROR(MATCH(INDIRECT(ADDRESS(ROW(C92)-MOD(ROW(C92)-63,27),COLUMN(C92),4)),Singles!$A$2:$A$33,0)),"",IF(INDIRECT("Singles."&amp;ADDRESS(QUOTIENT(MATCH(INDIRECT(ADDRESS(ROW(C92)-MOD(ROW(C92)-63,27),COLUMN(C92),4)),Singles!$A$2:$A$33,0)-1,16)*18+94+$S92,MOD(MATCH(INDIRECT(ADDRESS(ROW(C92)-MOD(ROW(C92)-63,27),COLUMN(C92),4)),Singles!$A$2:$A$33,0)-1,16)+2,4))="","",INDIRECT("Singles."&amp;ADDRESS(QUOTIENT(MATCH(INDIRECT(ADDRESS(ROW(C92)-MOD(ROW(C92)-63,27),COLUMN(C92),4)),Singles!$A$2:$A$33,0)-1,16)*18+94+$S92,MOD(MATCH(INDIRECT(ADDRESS(ROW(C92)-MOD(ROW(C92)-63,27),COLUMN(C92),4)),Singles!$A$2:$A$33,0)-1,16)+2,4)))),"")</f>
        <v/>
      </c>
      <c r="D92" s="78" t="str">
        <f ca="1">IF(Singles!$B$36="Yes",IF(ISERROR(MATCH(INDIRECT(ADDRESS(ROW(D92)-MOD(ROW(D92)-63,27),COLUMN(D92),4)),Singles!$A$2:$A$33,0)),"",IF(INDIRECT("Singles."&amp;ADDRESS(QUOTIENT(MATCH(INDIRECT(ADDRESS(ROW(D92)-MOD(ROW(D92)-63,27),COLUMN(D92),4)),Singles!$A$2:$A$33,0)-1,16)*18+94+$S92,MOD(MATCH(INDIRECT(ADDRESS(ROW(D92)-MOD(ROW(D92)-63,27),COLUMN(D92),4)),Singles!$A$2:$A$33,0)-1,16)+2,4))="","",INDIRECT("Singles."&amp;ADDRESS(QUOTIENT(MATCH(INDIRECT(ADDRESS(ROW(D92)-MOD(ROW(D92)-63,27),COLUMN(D92),4)),Singles!$A$2:$A$33,0)-1,16)*18+94+$S92,MOD(MATCH(INDIRECT(ADDRESS(ROW(D92)-MOD(ROW(D92)-63,27),COLUMN(D92),4)),Singles!$A$2:$A$33,0)-1,16)+2,4)))),"")</f>
        <v/>
      </c>
      <c r="E92" s="78" t="str">
        <f ca="1">IF(Singles!$B$36="Yes",IF(ISERROR(MATCH(INDIRECT(ADDRESS(ROW(E92)-MOD(ROW(E92)-63,27),COLUMN(E92),4)),Singles!$A$2:$A$33,0)),"",IF(INDIRECT("Singles."&amp;ADDRESS(QUOTIENT(MATCH(INDIRECT(ADDRESS(ROW(E92)-MOD(ROW(E92)-63,27),COLUMN(E92),4)),Singles!$A$2:$A$33,0)-1,16)*18+94+$S92,MOD(MATCH(INDIRECT(ADDRESS(ROW(E92)-MOD(ROW(E92)-63,27),COLUMN(E92),4)),Singles!$A$2:$A$33,0)-1,16)+2,4))="","",INDIRECT("Singles."&amp;ADDRESS(QUOTIENT(MATCH(INDIRECT(ADDRESS(ROW(E92)-MOD(ROW(E92)-63,27),COLUMN(E92),4)),Singles!$A$2:$A$33,0)-1,16)*18+94+$S92,MOD(MATCH(INDIRECT(ADDRESS(ROW(E92)-MOD(ROW(E92)-63,27),COLUMN(E92),4)),Singles!$A$2:$A$33,0)-1,16)+2,4)))),"")</f>
        <v/>
      </c>
      <c r="F92" s="78" t="str">
        <f ca="1">IF(Singles!$B$36="Yes",IF(ISERROR(MATCH(INDIRECT(ADDRESS(ROW(F92)-MOD(ROW(F92)-63,27),COLUMN(F92),4)),Singles!$A$2:$A$33,0)),"",IF(INDIRECT("Singles."&amp;ADDRESS(QUOTIENT(MATCH(INDIRECT(ADDRESS(ROW(F92)-MOD(ROW(F92)-63,27),COLUMN(F92),4)),Singles!$A$2:$A$33,0)-1,16)*18+94+$S92,MOD(MATCH(INDIRECT(ADDRESS(ROW(F92)-MOD(ROW(F92)-63,27),COLUMN(F92),4)),Singles!$A$2:$A$33,0)-1,16)+2,4))="","",INDIRECT("Singles."&amp;ADDRESS(QUOTIENT(MATCH(INDIRECT(ADDRESS(ROW(F92)-MOD(ROW(F92)-63,27),COLUMN(F92),4)),Singles!$A$2:$A$33,0)-1,16)*18+94+$S92,MOD(MATCH(INDIRECT(ADDRESS(ROW(F92)-MOD(ROW(F92)-63,27),COLUMN(F92),4)),Singles!$A$2:$A$33,0)-1,16)+2,4)))),"")</f>
        <v/>
      </c>
      <c r="G92" s="78" t="str">
        <f ca="1">IF(Singles!$B$36="Yes",IF(ISERROR(MATCH(INDIRECT(ADDRESS(ROW(G92)-MOD(ROW(G92)-63,27),COLUMN(G92),4)),Singles!$A$2:$A$33,0)),"",IF(INDIRECT("Singles."&amp;ADDRESS(QUOTIENT(MATCH(INDIRECT(ADDRESS(ROW(G92)-MOD(ROW(G92)-63,27),COLUMN(G92),4)),Singles!$A$2:$A$33,0)-1,16)*18+94+$S92,MOD(MATCH(INDIRECT(ADDRESS(ROW(G92)-MOD(ROW(G92)-63,27),COLUMN(G92),4)),Singles!$A$2:$A$33,0)-1,16)+2,4))="","",INDIRECT("Singles."&amp;ADDRESS(QUOTIENT(MATCH(INDIRECT(ADDRESS(ROW(G92)-MOD(ROW(G92)-63,27),COLUMN(G92),4)),Singles!$A$2:$A$33,0)-1,16)*18+94+$S92,MOD(MATCH(INDIRECT(ADDRESS(ROW(G92)-MOD(ROW(G92)-63,27),COLUMN(G92),4)),Singles!$A$2:$A$33,0)-1,16)+2,4)))),"")</f>
        <v/>
      </c>
      <c r="H92" s="78" t="str">
        <f ca="1">IF(Singles!$B$36="Yes",IF(ISERROR(MATCH(INDIRECT(ADDRESS(ROW(H92)-MOD(ROW(H92)-63,27),COLUMN(H92),4)),Singles!$A$2:$A$33,0)),"",IF(INDIRECT("Singles."&amp;ADDRESS(QUOTIENT(MATCH(INDIRECT(ADDRESS(ROW(H92)-MOD(ROW(H92)-63,27),COLUMN(H92),4)),Singles!$A$2:$A$33,0)-1,16)*18+94+$S92,MOD(MATCH(INDIRECT(ADDRESS(ROW(H92)-MOD(ROW(H92)-63,27),COLUMN(H92),4)),Singles!$A$2:$A$33,0)-1,16)+2,4))="","",INDIRECT("Singles."&amp;ADDRESS(QUOTIENT(MATCH(INDIRECT(ADDRESS(ROW(H92)-MOD(ROW(H92)-63,27),COLUMN(H92),4)),Singles!$A$2:$A$33,0)-1,16)*18+94+$S92,MOD(MATCH(INDIRECT(ADDRESS(ROW(H92)-MOD(ROW(H92)-63,27),COLUMN(H92),4)),Singles!$A$2:$A$33,0)-1,16)+2,4)))),"")</f>
        <v/>
      </c>
      <c r="I92" s="78" t="str">
        <f ca="1">IF(Singles!$B$36="Yes",IF(ISERROR(MATCH(INDIRECT(ADDRESS(ROW(I92)-MOD(ROW(I92)-63,27),COLUMN(I92),4)),Singles!$A$2:$A$33,0)),"",IF(INDIRECT("Singles."&amp;ADDRESS(QUOTIENT(MATCH(INDIRECT(ADDRESS(ROW(I92)-MOD(ROW(I92)-63,27),COLUMN(I92),4)),Singles!$A$2:$A$33,0)-1,16)*18+94+$S92,MOD(MATCH(INDIRECT(ADDRESS(ROW(I92)-MOD(ROW(I92)-63,27),COLUMN(I92),4)),Singles!$A$2:$A$33,0)-1,16)+2,4))="","",INDIRECT("Singles."&amp;ADDRESS(QUOTIENT(MATCH(INDIRECT(ADDRESS(ROW(I92)-MOD(ROW(I92)-63,27),COLUMN(I92),4)),Singles!$A$2:$A$33,0)-1,16)*18+94+$S92,MOD(MATCH(INDIRECT(ADDRESS(ROW(I92)-MOD(ROW(I92)-63,27),COLUMN(I92),4)),Singles!$A$2:$A$33,0)-1,16)+2,4)))),"")</f>
        <v/>
      </c>
      <c r="J92" s="78" t="str">
        <f ca="1">IF(Singles!$B$36="Yes",IF(ISERROR(MATCH(INDIRECT(ADDRESS(ROW(J92)-MOD(ROW(J92)-63,27),COLUMN(J92),4)),Singles!$A$2:$A$33,0)),"",IF(INDIRECT("Singles."&amp;ADDRESS(QUOTIENT(MATCH(INDIRECT(ADDRESS(ROW(J92)-MOD(ROW(J92)-63,27),COLUMN(J92),4)),Singles!$A$2:$A$33,0)-1,16)*18+94+$S92,MOD(MATCH(INDIRECT(ADDRESS(ROW(J92)-MOD(ROW(J92)-63,27),COLUMN(J92),4)),Singles!$A$2:$A$33,0)-1,16)+2,4))="","",INDIRECT("Singles."&amp;ADDRESS(QUOTIENT(MATCH(INDIRECT(ADDRESS(ROW(J92)-MOD(ROW(J92)-63,27),COLUMN(J92),4)),Singles!$A$2:$A$33,0)-1,16)*18+94+$S92,MOD(MATCH(INDIRECT(ADDRESS(ROW(J92)-MOD(ROW(J92)-63,27),COLUMN(J92),4)),Singles!$A$2:$A$33,0)-1,16)+2,4)))),"")</f>
        <v/>
      </c>
      <c r="K92" s="78" t="str">
        <f ca="1">IF(Singles!$B$36="Yes",IF(ISERROR(MATCH(INDIRECT(ADDRESS(ROW(K92)-MOD(ROW(K92)-63,27),COLUMN(K92),4)),Singles!$A$2:$A$33,0)),"",IF(INDIRECT("Singles."&amp;ADDRESS(QUOTIENT(MATCH(INDIRECT(ADDRESS(ROW(K92)-MOD(ROW(K92)-63,27),COLUMN(K92),4)),Singles!$A$2:$A$33,0)-1,16)*18+94+$S92,MOD(MATCH(INDIRECT(ADDRESS(ROW(K92)-MOD(ROW(K92)-63,27),COLUMN(K92),4)),Singles!$A$2:$A$33,0)-1,16)+2,4))="","",INDIRECT("Singles."&amp;ADDRESS(QUOTIENT(MATCH(INDIRECT(ADDRESS(ROW(K92)-MOD(ROW(K92)-63,27),COLUMN(K92),4)),Singles!$A$2:$A$33,0)-1,16)*18+94+$S92,MOD(MATCH(INDIRECT(ADDRESS(ROW(K92)-MOD(ROW(K92)-63,27),COLUMN(K92),4)),Singles!$A$2:$A$33,0)-1,16)+2,4)))),"")</f>
        <v/>
      </c>
      <c r="L92" s="78" t="str">
        <f ca="1">IF(Singles!$B$36="Yes",IF(ISERROR(MATCH(INDIRECT(ADDRESS(ROW(L92)-MOD(ROW(L92)-63,27),COLUMN(L92),4)),Singles!$A$2:$A$33,0)),"",IF(INDIRECT("Singles."&amp;ADDRESS(QUOTIENT(MATCH(INDIRECT(ADDRESS(ROW(L92)-MOD(ROW(L92)-63,27),COLUMN(L92),4)),Singles!$A$2:$A$33,0)-1,16)*18+94+$S92,MOD(MATCH(INDIRECT(ADDRESS(ROW(L92)-MOD(ROW(L92)-63,27),COLUMN(L92),4)),Singles!$A$2:$A$33,0)-1,16)+2,4))="","",INDIRECT("Singles."&amp;ADDRESS(QUOTIENT(MATCH(INDIRECT(ADDRESS(ROW(L92)-MOD(ROW(L92)-63,27),COLUMN(L92),4)),Singles!$A$2:$A$33,0)-1,16)*18+94+$S92,MOD(MATCH(INDIRECT(ADDRESS(ROW(L92)-MOD(ROW(L92)-63,27),COLUMN(L92),4)),Singles!$A$2:$A$33,0)-1,16)+2,4)))),"")</f>
        <v/>
      </c>
      <c r="M92" s="78" t="str">
        <f ca="1">IF(Singles!$B$36="Yes",IF(ISERROR(MATCH(INDIRECT(ADDRESS(ROW(M92)-MOD(ROW(M92)-63,27),COLUMN(M92),4)),Singles!$A$2:$A$33,0)),"",IF(INDIRECT("Singles."&amp;ADDRESS(QUOTIENT(MATCH(INDIRECT(ADDRESS(ROW(M92)-MOD(ROW(M92)-63,27),COLUMN(M92),4)),Singles!$A$2:$A$33,0)-1,16)*18+94+$S92,MOD(MATCH(INDIRECT(ADDRESS(ROW(M92)-MOD(ROW(M92)-63,27),COLUMN(M92),4)),Singles!$A$2:$A$33,0)-1,16)+2,4))="","",INDIRECT("Singles."&amp;ADDRESS(QUOTIENT(MATCH(INDIRECT(ADDRESS(ROW(M92)-MOD(ROW(M92)-63,27),COLUMN(M92),4)),Singles!$A$2:$A$33,0)-1,16)*18+94+$S92,MOD(MATCH(INDIRECT(ADDRESS(ROW(M92)-MOD(ROW(M92)-63,27),COLUMN(M92),4)),Singles!$A$2:$A$33,0)-1,16)+2,4)))),"")</f>
        <v/>
      </c>
      <c r="N92" s="78" t="str">
        <f ca="1">IF(Singles!$B$36="Yes",IF(ISERROR(MATCH(INDIRECT(ADDRESS(ROW(N92)-MOD(ROW(N92)-63,27),COLUMN(N92),4)),Singles!$A$2:$A$33,0)),"",IF(INDIRECT("Singles."&amp;ADDRESS(QUOTIENT(MATCH(INDIRECT(ADDRESS(ROW(N92)-MOD(ROW(N92)-63,27),COLUMN(N92),4)),Singles!$A$2:$A$33,0)-1,16)*18+94+$S92,MOD(MATCH(INDIRECT(ADDRESS(ROW(N92)-MOD(ROW(N92)-63,27),COLUMN(N92),4)),Singles!$A$2:$A$33,0)-1,16)+2,4))="","",INDIRECT("Singles."&amp;ADDRESS(QUOTIENT(MATCH(INDIRECT(ADDRESS(ROW(N92)-MOD(ROW(N92)-63,27),COLUMN(N92),4)),Singles!$A$2:$A$33,0)-1,16)*18+94+$S92,MOD(MATCH(INDIRECT(ADDRESS(ROW(N92)-MOD(ROW(N92)-63,27),COLUMN(N92),4)),Singles!$A$2:$A$33,0)-1,16)+2,4)))),"")</f>
        <v/>
      </c>
      <c r="O92" s="78" t="str">
        <f ca="1">IF(Singles!$B$36="Yes",IF(ISERROR(MATCH(INDIRECT(ADDRESS(ROW(O92)-MOD(ROW(O92)-63,27),COLUMN(O92),4)),Singles!$A$2:$A$33,0)),"",IF(INDIRECT("Singles."&amp;ADDRESS(QUOTIENT(MATCH(INDIRECT(ADDRESS(ROW(O92)-MOD(ROW(O92)-63,27),COLUMN(O92),4)),Singles!$A$2:$A$33,0)-1,16)*18+94+$S92,MOD(MATCH(INDIRECT(ADDRESS(ROW(O92)-MOD(ROW(O92)-63,27),COLUMN(O92),4)),Singles!$A$2:$A$33,0)-1,16)+2,4))="","",INDIRECT("Singles."&amp;ADDRESS(QUOTIENT(MATCH(INDIRECT(ADDRESS(ROW(O92)-MOD(ROW(O92)-63,27),COLUMN(O92),4)),Singles!$A$2:$A$33,0)-1,16)*18+94+$S92,MOD(MATCH(INDIRECT(ADDRESS(ROW(O92)-MOD(ROW(O92)-63,27),COLUMN(O92),4)),Singles!$A$2:$A$33,0)-1,16)+2,4)))),"")</f>
        <v/>
      </c>
      <c r="P92" s="78" t="str">
        <f ca="1">IF(Singles!$B$36="Yes",IF(ISERROR(MATCH(INDIRECT(ADDRESS(ROW(P92)-MOD(ROW(P92)-63,27),COLUMN(P92),4)),Singles!$A$2:$A$33,0)),"",IF(INDIRECT("Singles."&amp;ADDRESS(QUOTIENT(MATCH(INDIRECT(ADDRESS(ROW(P92)-MOD(ROW(P92)-63,27),COLUMN(P92),4)),Singles!$A$2:$A$33,0)-1,16)*18+94+$S92,MOD(MATCH(INDIRECT(ADDRESS(ROW(P92)-MOD(ROW(P92)-63,27),COLUMN(P92),4)),Singles!$A$2:$A$33,0)-1,16)+2,4))="","",INDIRECT("Singles."&amp;ADDRESS(QUOTIENT(MATCH(INDIRECT(ADDRESS(ROW(P92)-MOD(ROW(P92)-63,27),COLUMN(P92),4)),Singles!$A$2:$A$33,0)-1,16)*18+94+$S92,MOD(MATCH(INDIRECT(ADDRESS(ROW(P92)-MOD(ROW(P92)-63,27),COLUMN(P92),4)),Singles!$A$2:$A$33,0)-1,16)+2,4)))),"")</f>
        <v/>
      </c>
      <c r="Q92" s="78" t="str">
        <f ca="1">IF(Singles!$B$36="Yes",IF(ISERROR(MATCH(INDIRECT(ADDRESS(ROW(Q92)-MOD(ROW(Q92)-63,27),COLUMN(Q92),4)),Singles!$A$2:$A$33,0)),"",IF(INDIRECT("Singles."&amp;ADDRESS(QUOTIENT(MATCH(INDIRECT(ADDRESS(ROW(Q92)-MOD(ROW(Q92)-63,27),COLUMN(Q92),4)),Singles!$A$2:$A$33,0)-1,16)*18+94+$S92,MOD(MATCH(INDIRECT(ADDRESS(ROW(Q92)-MOD(ROW(Q92)-63,27),COLUMN(Q92),4)),Singles!$A$2:$A$33,0)-1,16)+2,4))="","",INDIRECT("Singles."&amp;ADDRESS(QUOTIENT(MATCH(INDIRECT(ADDRESS(ROW(Q92)-MOD(ROW(Q92)-63,27),COLUMN(Q92),4)),Singles!$A$2:$A$33,0)-1,16)*18+94+$S92,MOD(MATCH(INDIRECT(ADDRESS(ROW(Q92)-MOD(ROW(Q92)-63,27),COLUMN(Q92),4)),Singles!$A$2:$A$33,0)-1,16)+2,4)))),"")</f>
        <v/>
      </c>
      <c r="S92" s="5">
        <v>2</v>
      </c>
    </row>
    <row r="93" spans="1:19">
      <c r="A93" s="5">
        <v>3</v>
      </c>
      <c r="B93" s="78" t="str">
        <f ca="1">IF(Singles!$B$36="Yes",IF(ISERROR(MATCH(INDIRECT(ADDRESS(ROW(B93)-MOD(ROW(B93)-63,27),COLUMN(B93),4)),Singles!$A$2:$A$33,0)),"",IF(INDIRECT("Singles."&amp;ADDRESS(QUOTIENT(MATCH(INDIRECT(ADDRESS(ROW(B93)-MOD(ROW(B93)-63,27),COLUMN(B93),4)),Singles!$A$2:$A$33,0)-1,16)*18+94+$S93,MOD(MATCH(INDIRECT(ADDRESS(ROW(B93)-MOD(ROW(B93)-63,27),COLUMN(B93),4)),Singles!$A$2:$A$33,0)-1,16)+2,4))="","",INDIRECT("Singles."&amp;ADDRESS(QUOTIENT(MATCH(INDIRECT(ADDRESS(ROW(B93)-MOD(ROW(B93)-63,27),COLUMN(B93),4)),Singles!$A$2:$A$33,0)-1,16)*18+94+$S93,MOD(MATCH(INDIRECT(ADDRESS(ROW(B93)-MOD(ROW(B93)-63,27),COLUMN(B93),4)),Singles!$A$2:$A$33,0)-1,16)+2,4)))),"")</f>
        <v/>
      </c>
      <c r="C93" s="78" t="str">
        <f ca="1">IF(Singles!$B$36="Yes",IF(ISERROR(MATCH(INDIRECT(ADDRESS(ROW(C93)-MOD(ROW(C93)-63,27),COLUMN(C93),4)),Singles!$A$2:$A$33,0)),"",IF(INDIRECT("Singles."&amp;ADDRESS(QUOTIENT(MATCH(INDIRECT(ADDRESS(ROW(C93)-MOD(ROW(C93)-63,27),COLUMN(C93),4)),Singles!$A$2:$A$33,0)-1,16)*18+94+$S93,MOD(MATCH(INDIRECT(ADDRESS(ROW(C93)-MOD(ROW(C93)-63,27),COLUMN(C93),4)),Singles!$A$2:$A$33,0)-1,16)+2,4))="","",INDIRECT("Singles."&amp;ADDRESS(QUOTIENT(MATCH(INDIRECT(ADDRESS(ROW(C93)-MOD(ROW(C93)-63,27),COLUMN(C93),4)),Singles!$A$2:$A$33,0)-1,16)*18+94+$S93,MOD(MATCH(INDIRECT(ADDRESS(ROW(C93)-MOD(ROW(C93)-63,27),COLUMN(C93),4)),Singles!$A$2:$A$33,0)-1,16)+2,4)))),"")</f>
        <v/>
      </c>
      <c r="D93" s="78" t="str">
        <f ca="1">IF(Singles!$B$36="Yes",IF(ISERROR(MATCH(INDIRECT(ADDRESS(ROW(D93)-MOD(ROW(D93)-63,27),COLUMN(D93),4)),Singles!$A$2:$A$33,0)),"",IF(INDIRECT("Singles."&amp;ADDRESS(QUOTIENT(MATCH(INDIRECT(ADDRESS(ROW(D93)-MOD(ROW(D93)-63,27),COLUMN(D93),4)),Singles!$A$2:$A$33,0)-1,16)*18+94+$S93,MOD(MATCH(INDIRECT(ADDRESS(ROW(D93)-MOD(ROW(D93)-63,27),COLUMN(D93),4)),Singles!$A$2:$A$33,0)-1,16)+2,4))="","",INDIRECT("Singles."&amp;ADDRESS(QUOTIENT(MATCH(INDIRECT(ADDRESS(ROW(D93)-MOD(ROW(D93)-63,27),COLUMN(D93),4)),Singles!$A$2:$A$33,0)-1,16)*18+94+$S93,MOD(MATCH(INDIRECT(ADDRESS(ROW(D93)-MOD(ROW(D93)-63,27),COLUMN(D93),4)),Singles!$A$2:$A$33,0)-1,16)+2,4)))),"")</f>
        <v/>
      </c>
      <c r="E93" s="78" t="str">
        <f ca="1">IF(Singles!$B$36="Yes",IF(ISERROR(MATCH(INDIRECT(ADDRESS(ROW(E93)-MOD(ROW(E93)-63,27),COLUMN(E93),4)),Singles!$A$2:$A$33,0)),"",IF(INDIRECT("Singles."&amp;ADDRESS(QUOTIENT(MATCH(INDIRECT(ADDRESS(ROW(E93)-MOD(ROW(E93)-63,27),COLUMN(E93),4)),Singles!$A$2:$A$33,0)-1,16)*18+94+$S93,MOD(MATCH(INDIRECT(ADDRESS(ROW(E93)-MOD(ROW(E93)-63,27),COLUMN(E93),4)),Singles!$A$2:$A$33,0)-1,16)+2,4))="","",INDIRECT("Singles."&amp;ADDRESS(QUOTIENT(MATCH(INDIRECT(ADDRESS(ROW(E93)-MOD(ROW(E93)-63,27),COLUMN(E93),4)),Singles!$A$2:$A$33,0)-1,16)*18+94+$S93,MOD(MATCH(INDIRECT(ADDRESS(ROW(E93)-MOD(ROW(E93)-63,27),COLUMN(E93),4)),Singles!$A$2:$A$33,0)-1,16)+2,4)))),"")</f>
        <v/>
      </c>
      <c r="F93" s="78" t="str">
        <f ca="1">IF(Singles!$B$36="Yes",IF(ISERROR(MATCH(INDIRECT(ADDRESS(ROW(F93)-MOD(ROW(F93)-63,27),COLUMN(F93),4)),Singles!$A$2:$A$33,0)),"",IF(INDIRECT("Singles."&amp;ADDRESS(QUOTIENT(MATCH(INDIRECT(ADDRESS(ROW(F93)-MOD(ROW(F93)-63,27),COLUMN(F93),4)),Singles!$A$2:$A$33,0)-1,16)*18+94+$S93,MOD(MATCH(INDIRECT(ADDRESS(ROW(F93)-MOD(ROW(F93)-63,27),COLUMN(F93),4)),Singles!$A$2:$A$33,0)-1,16)+2,4))="","",INDIRECT("Singles."&amp;ADDRESS(QUOTIENT(MATCH(INDIRECT(ADDRESS(ROW(F93)-MOD(ROW(F93)-63,27),COLUMN(F93),4)),Singles!$A$2:$A$33,0)-1,16)*18+94+$S93,MOD(MATCH(INDIRECT(ADDRESS(ROW(F93)-MOD(ROW(F93)-63,27),COLUMN(F93),4)),Singles!$A$2:$A$33,0)-1,16)+2,4)))),"")</f>
        <v/>
      </c>
      <c r="G93" s="78" t="str">
        <f ca="1">IF(Singles!$B$36="Yes",IF(ISERROR(MATCH(INDIRECT(ADDRESS(ROW(G93)-MOD(ROW(G93)-63,27),COLUMN(G93),4)),Singles!$A$2:$A$33,0)),"",IF(INDIRECT("Singles."&amp;ADDRESS(QUOTIENT(MATCH(INDIRECT(ADDRESS(ROW(G93)-MOD(ROW(G93)-63,27),COLUMN(G93),4)),Singles!$A$2:$A$33,0)-1,16)*18+94+$S93,MOD(MATCH(INDIRECT(ADDRESS(ROW(G93)-MOD(ROW(G93)-63,27),COLUMN(G93),4)),Singles!$A$2:$A$33,0)-1,16)+2,4))="","",INDIRECT("Singles."&amp;ADDRESS(QUOTIENT(MATCH(INDIRECT(ADDRESS(ROW(G93)-MOD(ROW(G93)-63,27),COLUMN(G93),4)),Singles!$A$2:$A$33,0)-1,16)*18+94+$S93,MOD(MATCH(INDIRECT(ADDRESS(ROW(G93)-MOD(ROW(G93)-63,27),COLUMN(G93),4)),Singles!$A$2:$A$33,0)-1,16)+2,4)))),"")</f>
        <v/>
      </c>
      <c r="H93" s="78" t="str">
        <f ca="1">IF(Singles!$B$36="Yes",IF(ISERROR(MATCH(INDIRECT(ADDRESS(ROW(H93)-MOD(ROW(H93)-63,27),COLUMN(H93),4)),Singles!$A$2:$A$33,0)),"",IF(INDIRECT("Singles."&amp;ADDRESS(QUOTIENT(MATCH(INDIRECT(ADDRESS(ROW(H93)-MOD(ROW(H93)-63,27),COLUMN(H93),4)),Singles!$A$2:$A$33,0)-1,16)*18+94+$S93,MOD(MATCH(INDIRECT(ADDRESS(ROW(H93)-MOD(ROW(H93)-63,27),COLUMN(H93),4)),Singles!$A$2:$A$33,0)-1,16)+2,4))="","",INDIRECT("Singles."&amp;ADDRESS(QUOTIENT(MATCH(INDIRECT(ADDRESS(ROW(H93)-MOD(ROW(H93)-63,27),COLUMN(H93),4)),Singles!$A$2:$A$33,0)-1,16)*18+94+$S93,MOD(MATCH(INDIRECT(ADDRESS(ROW(H93)-MOD(ROW(H93)-63,27),COLUMN(H93),4)),Singles!$A$2:$A$33,0)-1,16)+2,4)))),"")</f>
        <v/>
      </c>
      <c r="I93" s="78" t="str">
        <f ca="1">IF(Singles!$B$36="Yes",IF(ISERROR(MATCH(INDIRECT(ADDRESS(ROW(I93)-MOD(ROW(I93)-63,27),COLUMN(I93),4)),Singles!$A$2:$A$33,0)),"",IF(INDIRECT("Singles."&amp;ADDRESS(QUOTIENT(MATCH(INDIRECT(ADDRESS(ROW(I93)-MOD(ROW(I93)-63,27),COLUMN(I93),4)),Singles!$A$2:$A$33,0)-1,16)*18+94+$S93,MOD(MATCH(INDIRECT(ADDRESS(ROW(I93)-MOD(ROW(I93)-63,27),COLUMN(I93),4)),Singles!$A$2:$A$33,0)-1,16)+2,4))="","",INDIRECT("Singles."&amp;ADDRESS(QUOTIENT(MATCH(INDIRECT(ADDRESS(ROW(I93)-MOD(ROW(I93)-63,27),COLUMN(I93),4)),Singles!$A$2:$A$33,0)-1,16)*18+94+$S93,MOD(MATCH(INDIRECT(ADDRESS(ROW(I93)-MOD(ROW(I93)-63,27),COLUMN(I93),4)),Singles!$A$2:$A$33,0)-1,16)+2,4)))),"")</f>
        <v/>
      </c>
      <c r="J93" s="78" t="str">
        <f ca="1">IF(Singles!$B$36="Yes",IF(ISERROR(MATCH(INDIRECT(ADDRESS(ROW(J93)-MOD(ROW(J93)-63,27),COLUMN(J93),4)),Singles!$A$2:$A$33,0)),"",IF(INDIRECT("Singles."&amp;ADDRESS(QUOTIENT(MATCH(INDIRECT(ADDRESS(ROW(J93)-MOD(ROW(J93)-63,27),COLUMN(J93),4)),Singles!$A$2:$A$33,0)-1,16)*18+94+$S93,MOD(MATCH(INDIRECT(ADDRESS(ROW(J93)-MOD(ROW(J93)-63,27),COLUMN(J93),4)),Singles!$A$2:$A$33,0)-1,16)+2,4))="","",INDIRECT("Singles."&amp;ADDRESS(QUOTIENT(MATCH(INDIRECT(ADDRESS(ROW(J93)-MOD(ROW(J93)-63,27),COLUMN(J93),4)),Singles!$A$2:$A$33,0)-1,16)*18+94+$S93,MOD(MATCH(INDIRECT(ADDRESS(ROW(J93)-MOD(ROW(J93)-63,27),COLUMN(J93),4)),Singles!$A$2:$A$33,0)-1,16)+2,4)))),"")</f>
        <v/>
      </c>
      <c r="K93" s="78" t="str">
        <f ca="1">IF(Singles!$B$36="Yes",IF(ISERROR(MATCH(INDIRECT(ADDRESS(ROW(K93)-MOD(ROW(K93)-63,27),COLUMN(K93),4)),Singles!$A$2:$A$33,0)),"",IF(INDIRECT("Singles."&amp;ADDRESS(QUOTIENT(MATCH(INDIRECT(ADDRESS(ROW(K93)-MOD(ROW(K93)-63,27),COLUMN(K93),4)),Singles!$A$2:$A$33,0)-1,16)*18+94+$S93,MOD(MATCH(INDIRECT(ADDRESS(ROW(K93)-MOD(ROW(K93)-63,27),COLUMN(K93),4)),Singles!$A$2:$A$33,0)-1,16)+2,4))="","",INDIRECT("Singles."&amp;ADDRESS(QUOTIENT(MATCH(INDIRECT(ADDRESS(ROW(K93)-MOD(ROW(K93)-63,27),COLUMN(K93),4)),Singles!$A$2:$A$33,0)-1,16)*18+94+$S93,MOD(MATCH(INDIRECT(ADDRESS(ROW(K93)-MOD(ROW(K93)-63,27),COLUMN(K93),4)),Singles!$A$2:$A$33,0)-1,16)+2,4)))),"")</f>
        <v/>
      </c>
      <c r="L93" s="78" t="str">
        <f ca="1">IF(Singles!$B$36="Yes",IF(ISERROR(MATCH(INDIRECT(ADDRESS(ROW(L93)-MOD(ROW(L93)-63,27),COLUMN(L93),4)),Singles!$A$2:$A$33,0)),"",IF(INDIRECT("Singles."&amp;ADDRESS(QUOTIENT(MATCH(INDIRECT(ADDRESS(ROW(L93)-MOD(ROW(L93)-63,27),COLUMN(L93),4)),Singles!$A$2:$A$33,0)-1,16)*18+94+$S93,MOD(MATCH(INDIRECT(ADDRESS(ROW(L93)-MOD(ROW(L93)-63,27),COLUMN(L93),4)),Singles!$A$2:$A$33,0)-1,16)+2,4))="","",INDIRECT("Singles."&amp;ADDRESS(QUOTIENT(MATCH(INDIRECT(ADDRESS(ROW(L93)-MOD(ROW(L93)-63,27),COLUMN(L93),4)),Singles!$A$2:$A$33,0)-1,16)*18+94+$S93,MOD(MATCH(INDIRECT(ADDRESS(ROW(L93)-MOD(ROW(L93)-63,27),COLUMN(L93),4)),Singles!$A$2:$A$33,0)-1,16)+2,4)))),"")</f>
        <v/>
      </c>
      <c r="M93" s="78" t="str">
        <f ca="1">IF(Singles!$B$36="Yes",IF(ISERROR(MATCH(INDIRECT(ADDRESS(ROW(M93)-MOD(ROW(M93)-63,27),COLUMN(M93),4)),Singles!$A$2:$A$33,0)),"",IF(INDIRECT("Singles."&amp;ADDRESS(QUOTIENT(MATCH(INDIRECT(ADDRESS(ROW(M93)-MOD(ROW(M93)-63,27),COLUMN(M93),4)),Singles!$A$2:$A$33,0)-1,16)*18+94+$S93,MOD(MATCH(INDIRECT(ADDRESS(ROW(M93)-MOD(ROW(M93)-63,27),COLUMN(M93),4)),Singles!$A$2:$A$33,0)-1,16)+2,4))="","",INDIRECT("Singles."&amp;ADDRESS(QUOTIENT(MATCH(INDIRECT(ADDRESS(ROW(M93)-MOD(ROW(M93)-63,27),COLUMN(M93),4)),Singles!$A$2:$A$33,0)-1,16)*18+94+$S93,MOD(MATCH(INDIRECT(ADDRESS(ROW(M93)-MOD(ROW(M93)-63,27),COLUMN(M93),4)),Singles!$A$2:$A$33,0)-1,16)+2,4)))),"")</f>
        <v/>
      </c>
      <c r="N93" s="78" t="str">
        <f ca="1">IF(Singles!$B$36="Yes",IF(ISERROR(MATCH(INDIRECT(ADDRESS(ROW(N93)-MOD(ROW(N93)-63,27),COLUMN(N93),4)),Singles!$A$2:$A$33,0)),"",IF(INDIRECT("Singles."&amp;ADDRESS(QUOTIENT(MATCH(INDIRECT(ADDRESS(ROW(N93)-MOD(ROW(N93)-63,27),COLUMN(N93),4)),Singles!$A$2:$A$33,0)-1,16)*18+94+$S93,MOD(MATCH(INDIRECT(ADDRESS(ROW(N93)-MOD(ROW(N93)-63,27),COLUMN(N93),4)),Singles!$A$2:$A$33,0)-1,16)+2,4))="","",INDIRECT("Singles."&amp;ADDRESS(QUOTIENT(MATCH(INDIRECT(ADDRESS(ROW(N93)-MOD(ROW(N93)-63,27),COLUMN(N93),4)),Singles!$A$2:$A$33,0)-1,16)*18+94+$S93,MOD(MATCH(INDIRECT(ADDRESS(ROW(N93)-MOD(ROW(N93)-63,27),COLUMN(N93),4)),Singles!$A$2:$A$33,0)-1,16)+2,4)))),"")</f>
        <v/>
      </c>
      <c r="O93" s="78" t="str">
        <f ca="1">IF(Singles!$B$36="Yes",IF(ISERROR(MATCH(INDIRECT(ADDRESS(ROW(O93)-MOD(ROW(O93)-63,27),COLUMN(O93),4)),Singles!$A$2:$A$33,0)),"",IF(INDIRECT("Singles."&amp;ADDRESS(QUOTIENT(MATCH(INDIRECT(ADDRESS(ROW(O93)-MOD(ROW(O93)-63,27),COLUMN(O93),4)),Singles!$A$2:$A$33,0)-1,16)*18+94+$S93,MOD(MATCH(INDIRECT(ADDRESS(ROW(O93)-MOD(ROW(O93)-63,27),COLUMN(O93),4)),Singles!$A$2:$A$33,0)-1,16)+2,4))="","",INDIRECT("Singles."&amp;ADDRESS(QUOTIENT(MATCH(INDIRECT(ADDRESS(ROW(O93)-MOD(ROW(O93)-63,27),COLUMN(O93),4)),Singles!$A$2:$A$33,0)-1,16)*18+94+$S93,MOD(MATCH(INDIRECT(ADDRESS(ROW(O93)-MOD(ROW(O93)-63,27),COLUMN(O93),4)),Singles!$A$2:$A$33,0)-1,16)+2,4)))),"")</f>
        <v/>
      </c>
      <c r="P93" s="78" t="str">
        <f ca="1">IF(Singles!$B$36="Yes",IF(ISERROR(MATCH(INDIRECT(ADDRESS(ROW(P93)-MOD(ROW(P93)-63,27),COLUMN(P93),4)),Singles!$A$2:$A$33,0)),"",IF(INDIRECT("Singles."&amp;ADDRESS(QUOTIENT(MATCH(INDIRECT(ADDRESS(ROW(P93)-MOD(ROW(P93)-63,27),COLUMN(P93),4)),Singles!$A$2:$A$33,0)-1,16)*18+94+$S93,MOD(MATCH(INDIRECT(ADDRESS(ROW(P93)-MOD(ROW(P93)-63,27),COLUMN(P93),4)),Singles!$A$2:$A$33,0)-1,16)+2,4))="","",INDIRECT("Singles."&amp;ADDRESS(QUOTIENT(MATCH(INDIRECT(ADDRESS(ROW(P93)-MOD(ROW(P93)-63,27),COLUMN(P93),4)),Singles!$A$2:$A$33,0)-1,16)*18+94+$S93,MOD(MATCH(INDIRECT(ADDRESS(ROW(P93)-MOD(ROW(P93)-63,27),COLUMN(P93),4)),Singles!$A$2:$A$33,0)-1,16)+2,4)))),"")</f>
        <v/>
      </c>
      <c r="Q93" s="78" t="str">
        <f ca="1">IF(Singles!$B$36="Yes",IF(ISERROR(MATCH(INDIRECT(ADDRESS(ROW(Q93)-MOD(ROW(Q93)-63,27),COLUMN(Q93),4)),Singles!$A$2:$A$33,0)),"",IF(INDIRECT("Singles."&amp;ADDRESS(QUOTIENT(MATCH(INDIRECT(ADDRESS(ROW(Q93)-MOD(ROW(Q93)-63,27),COLUMN(Q93),4)),Singles!$A$2:$A$33,0)-1,16)*18+94+$S93,MOD(MATCH(INDIRECT(ADDRESS(ROW(Q93)-MOD(ROW(Q93)-63,27),COLUMN(Q93),4)),Singles!$A$2:$A$33,0)-1,16)+2,4))="","",INDIRECT("Singles."&amp;ADDRESS(QUOTIENT(MATCH(INDIRECT(ADDRESS(ROW(Q93)-MOD(ROW(Q93)-63,27),COLUMN(Q93),4)),Singles!$A$2:$A$33,0)-1,16)*18+94+$S93,MOD(MATCH(INDIRECT(ADDRESS(ROW(Q93)-MOD(ROW(Q93)-63,27),COLUMN(Q93),4)),Singles!$A$2:$A$33,0)-1,16)+2,4)))),"")</f>
        <v/>
      </c>
      <c r="S93" s="5">
        <v>3</v>
      </c>
    </row>
    <row r="94" spans="1:19">
      <c r="A94" s="5">
        <v>4</v>
      </c>
      <c r="B94" s="78" t="str">
        <f ca="1">IF(Singles!$B$36="Yes",IF(ISERROR(MATCH(INDIRECT(ADDRESS(ROW(B94)-MOD(ROW(B94)-63,27),COLUMN(B94),4)),Singles!$A$2:$A$33,0)),"",IF(INDIRECT("Singles."&amp;ADDRESS(QUOTIENT(MATCH(INDIRECT(ADDRESS(ROW(B94)-MOD(ROW(B94)-63,27),COLUMN(B94),4)),Singles!$A$2:$A$33,0)-1,16)*18+94+$S94,MOD(MATCH(INDIRECT(ADDRESS(ROW(B94)-MOD(ROW(B94)-63,27),COLUMN(B94),4)),Singles!$A$2:$A$33,0)-1,16)+2,4))="","",INDIRECT("Singles."&amp;ADDRESS(QUOTIENT(MATCH(INDIRECT(ADDRESS(ROW(B94)-MOD(ROW(B94)-63,27),COLUMN(B94),4)),Singles!$A$2:$A$33,0)-1,16)*18+94+$S94,MOD(MATCH(INDIRECT(ADDRESS(ROW(B94)-MOD(ROW(B94)-63,27),COLUMN(B94),4)),Singles!$A$2:$A$33,0)-1,16)+2,4)))),"")</f>
        <v/>
      </c>
      <c r="C94" s="78" t="str">
        <f ca="1">IF(Singles!$B$36="Yes",IF(ISERROR(MATCH(INDIRECT(ADDRESS(ROW(C94)-MOD(ROW(C94)-63,27),COLUMN(C94),4)),Singles!$A$2:$A$33,0)),"",IF(INDIRECT("Singles."&amp;ADDRESS(QUOTIENT(MATCH(INDIRECT(ADDRESS(ROW(C94)-MOD(ROW(C94)-63,27),COLUMN(C94),4)),Singles!$A$2:$A$33,0)-1,16)*18+94+$S94,MOD(MATCH(INDIRECT(ADDRESS(ROW(C94)-MOD(ROW(C94)-63,27),COLUMN(C94),4)),Singles!$A$2:$A$33,0)-1,16)+2,4))="","",INDIRECT("Singles."&amp;ADDRESS(QUOTIENT(MATCH(INDIRECT(ADDRESS(ROW(C94)-MOD(ROW(C94)-63,27),COLUMN(C94),4)),Singles!$A$2:$A$33,0)-1,16)*18+94+$S94,MOD(MATCH(INDIRECT(ADDRESS(ROW(C94)-MOD(ROW(C94)-63,27),COLUMN(C94),4)),Singles!$A$2:$A$33,0)-1,16)+2,4)))),"")</f>
        <v/>
      </c>
      <c r="D94" s="78" t="str">
        <f ca="1">IF(Singles!$B$36="Yes",IF(ISERROR(MATCH(INDIRECT(ADDRESS(ROW(D94)-MOD(ROW(D94)-63,27),COLUMN(D94),4)),Singles!$A$2:$A$33,0)),"",IF(INDIRECT("Singles."&amp;ADDRESS(QUOTIENT(MATCH(INDIRECT(ADDRESS(ROW(D94)-MOD(ROW(D94)-63,27),COLUMN(D94),4)),Singles!$A$2:$A$33,0)-1,16)*18+94+$S94,MOD(MATCH(INDIRECT(ADDRESS(ROW(D94)-MOD(ROW(D94)-63,27),COLUMN(D94),4)),Singles!$A$2:$A$33,0)-1,16)+2,4))="","",INDIRECT("Singles."&amp;ADDRESS(QUOTIENT(MATCH(INDIRECT(ADDRESS(ROW(D94)-MOD(ROW(D94)-63,27),COLUMN(D94),4)),Singles!$A$2:$A$33,0)-1,16)*18+94+$S94,MOD(MATCH(INDIRECT(ADDRESS(ROW(D94)-MOD(ROW(D94)-63,27),COLUMN(D94),4)),Singles!$A$2:$A$33,0)-1,16)+2,4)))),"")</f>
        <v/>
      </c>
      <c r="E94" s="78" t="str">
        <f ca="1">IF(Singles!$B$36="Yes",IF(ISERROR(MATCH(INDIRECT(ADDRESS(ROW(E94)-MOD(ROW(E94)-63,27),COLUMN(E94),4)),Singles!$A$2:$A$33,0)),"",IF(INDIRECT("Singles."&amp;ADDRESS(QUOTIENT(MATCH(INDIRECT(ADDRESS(ROW(E94)-MOD(ROW(E94)-63,27),COLUMN(E94),4)),Singles!$A$2:$A$33,0)-1,16)*18+94+$S94,MOD(MATCH(INDIRECT(ADDRESS(ROW(E94)-MOD(ROW(E94)-63,27),COLUMN(E94),4)),Singles!$A$2:$A$33,0)-1,16)+2,4))="","",INDIRECT("Singles."&amp;ADDRESS(QUOTIENT(MATCH(INDIRECT(ADDRESS(ROW(E94)-MOD(ROW(E94)-63,27),COLUMN(E94),4)),Singles!$A$2:$A$33,0)-1,16)*18+94+$S94,MOD(MATCH(INDIRECT(ADDRESS(ROW(E94)-MOD(ROW(E94)-63,27),COLUMN(E94),4)),Singles!$A$2:$A$33,0)-1,16)+2,4)))),"")</f>
        <v/>
      </c>
      <c r="F94" s="78" t="str">
        <f ca="1">IF(Singles!$B$36="Yes",IF(ISERROR(MATCH(INDIRECT(ADDRESS(ROW(F94)-MOD(ROW(F94)-63,27),COLUMN(F94),4)),Singles!$A$2:$A$33,0)),"",IF(INDIRECT("Singles."&amp;ADDRESS(QUOTIENT(MATCH(INDIRECT(ADDRESS(ROW(F94)-MOD(ROW(F94)-63,27),COLUMN(F94),4)),Singles!$A$2:$A$33,0)-1,16)*18+94+$S94,MOD(MATCH(INDIRECT(ADDRESS(ROW(F94)-MOD(ROW(F94)-63,27),COLUMN(F94),4)),Singles!$A$2:$A$33,0)-1,16)+2,4))="","",INDIRECT("Singles."&amp;ADDRESS(QUOTIENT(MATCH(INDIRECT(ADDRESS(ROW(F94)-MOD(ROW(F94)-63,27),COLUMN(F94),4)),Singles!$A$2:$A$33,0)-1,16)*18+94+$S94,MOD(MATCH(INDIRECT(ADDRESS(ROW(F94)-MOD(ROW(F94)-63,27),COLUMN(F94),4)),Singles!$A$2:$A$33,0)-1,16)+2,4)))),"")</f>
        <v/>
      </c>
      <c r="G94" s="78" t="str">
        <f ca="1">IF(Singles!$B$36="Yes",IF(ISERROR(MATCH(INDIRECT(ADDRESS(ROW(G94)-MOD(ROW(G94)-63,27),COLUMN(G94),4)),Singles!$A$2:$A$33,0)),"",IF(INDIRECT("Singles."&amp;ADDRESS(QUOTIENT(MATCH(INDIRECT(ADDRESS(ROW(G94)-MOD(ROW(G94)-63,27),COLUMN(G94),4)),Singles!$A$2:$A$33,0)-1,16)*18+94+$S94,MOD(MATCH(INDIRECT(ADDRESS(ROW(G94)-MOD(ROW(G94)-63,27),COLUMN(G94),4)),Singles!$A$2:$A$33,0)-1,16)+2,4))="","",INDIRECT("Singles."&amp;ADDRESS(QUOTIENT(MATCH(INDIRECT(ADDRESS(ROW(G94)-MOD(ROW(G94)-63,27),COLUMN(G94),4)),Singles!$A$2:$A$33,0)-1,16)*18+94+$S94,MOD(MATCH(INDIRECT(ADDRESS(ROW(G94)-MOD(ROW(G94)-63,27),COLUMN(G94),4)),Singles!$A$2:$A$33,0)-1,16)+2,4)))),"")</f>
        <v/>
      </c>
      <c r="H94" s="78" t="str">
        <f ca="1">IF(Singles!$B$36="Yes",IF(ISERROR(MATCH(INDIRECT(ADDRESS(ROW(H94)-MOD(ROW(H94)-63,27),COLUMN(H94),4)),Singles!$A$2:$A$33,0)),"",IF(INDIRECT("Singles."&amp;ADDRESS(QUOTIENT(MATCH(INDIRECT(ADDRESS(ROW(H94)-MOD(ROW(H94)-63,27),COLUMN(H94),4)),Singles!$A$2:$A$33,0)-1,16)*18+94+$S94,MOD(MATCH(INDIRECT(ADDRESS(ROW(H94)-MOD(ROW(H94)-63,27),COLUMN(H94),4)),Singles!$A$2:$A$33,0)-1,16)+2,4))="","",INDIRECT("Singles."&amp;ADDRESS(QUOTIENT(MATCH(INDIRECT(ADDRESS(ROW(H94)-MOD(ROW(H94)-63,27),COLUMN(H94),4)),Singles!$A$2:$A$33,0)-1,16)*18+94+$S94,MOD(MATCH(INDIRECT(ADDRESS(ROW(H94)-MOD(ROW(H94)-63,27),COLUMN(H94),4)),Singles!$A$2:$A$33,0)-1,16)+2,4)))),"")</f>
        <v/>
      </c>
      <c r="I94" s="78" t="str">
        <f ca="1">IF(Singles!$B$36="Yes",IF(ISERROR(MATCH(INDIRECT(ADDRESS(ROW(I94)-MOD(ROW(I94)-63,27),COLUMN(I94),4)),Singles!$A$2:$A$33,0)),"",IF(INDIRECT("Singles."&amp;ADDRESS(QUOTIENT(MATCH(INDIRECT(ADDRESS(ROW(I94)-MOD(ROW(I94)-63,27),COLUMN(I94),4)),Singles!$A$2:$A$33,0)-1,16)*18+94+$S94,MOD(MATCH(INDIRECT(ADDRESS(ROW(I94)-MOD(ROW(I94)-63,27),COLUMN(I94),4)),Singles!$A$2:$A$33,0)-1,16)+2,4))="","",INDIRECT("Singles."&amp;ADDRESS(QUOTIENT(MATCH(INDIRECT(ADDRESS(ROW(I94)-MOD(ROW(I94)-63,27),COLUMN(I94),4)),Singles!$A$2:$A$33,0)-1,16)*18+94+$S94,MOD(MATCH(INDIRECT(ADDRESS(ROW(I94)-MOD(ROW(I94)-63,27),COLUMN(I94),4)),Singles!$A$2:$A$33,0)-1,16)+2,4)))),"")</f>
        <v/>
      </c>
      <c r="J94" s="78" t="str">
        <f ca="1">IF(Singles!$B$36="Yes",IF(ISERROR(MATCH(INDIRECT(ADDRESS(ROW(J94)-MOD(ROW(J94)-63,27),COLUMN(J94),4)),Singles!$A$2:$A$33,0)),"",IF(INDIRECT("Singles."&amp;ADDRESS(QUOTIENT(MATCH(INDIRECT(ADDRESS(ROW(J94)-MOD(ROW(J94)-63,27),COLUMN(J94),4)),Singles!$A$2:$A$33,0)-1,16)*18+94+$S94,MOD(MATCH(INDIRECT(ADDRESS(ROW(J94)-MOD(ROW(J94)-63,27),COLUMN(J94),4)),Singles!$A$2:$A$33,0)-1,16)+2,4))="","",INDIRECT("Singles."&amp;ADDRESS(QUOTIENT(MATCH(INDIRECT(ADDRESS(ROW(J94)-MOD(ROW(J94)-63,27),COLUMN(J94),4)),Singles!$A$2:$A$33,0)-1,16)*18+94+$S94,MOD(MATCH(INDIRECT(ADDRESS(ROW(J94)-MOD(ROW(J94)-63,27),COLUMN(J94),4)),Singles!$A$2:$A$33,0)-1,16)+2,4)))),"")</f>
        <v/>
      </c>
      <c r="K94" s="78" t="str">
        <f ca="1">IF(Singles!$B$36="Yes",IF(ISERROR(MATCH(INDIRECT(ADDRESS(ROW(K94)-MOD(ROW(K94)-63,27),COLUMN(K94),4)),Singles!$A$2:$A$33,0)),"",IF(INDIRECT("Singles."&amp;ADDRESS(QUOTIENT(MATCH(INDIRECT(ADDRESS(ROW(K94)-MOD(ROW(K94)-63,27),COLUMN(K94),4)),Singles!$A$2:$A$33,0)-1,16)*18+94+$S94,MOD(MATCH(INDIRECT(ADDRESS(ROW(K94)-MOD(ROW(K94)-63,27),COLUMN(K94),4)),Singles!$A$2:$A$33,0)-1,16)+2,4))="","",INDIRECT("Singles."&amp;ADDRESS(QUOTIENT(MATCH(INDIRECT(ADDRESS(ROW(K94)-MOD(ROW(K94)-63,27),COLUMN(K94),4)),Singles!$A$2:$A$33,0)-1,16)*18+94+$S94,MOD(MATCH(INDIRECT(ADDRESS(ROW(K94)-MOD(ROW(K94)-63,27),COLUMN(K94),4)),Singles!$A$2:$A$33,0)-1,16)+2,4)))),"")</f>
        <v/>
      </c>
      <c r="L94" s="78" t="str">
        <f ca="1">IF(Singles!$B$36="Yes",IF(ISERROR(MATCH(INDIRECT(ADDRESS(ROW(L94)-MOD(ROW(L94)-63,27),COLUMN(L94),4)),Singles!$A$2:$A$33,0)),"",IF(INDIRECT("Singles."&amp;ADDRESS(QUOTIENT(MATCH(INDIRECT(ADDRESS(ROW(L94)-MOD(ROW(L94)-63,27),COLUMN(L94),4)),Singles!$A$2:$A$33,0)-1,16)*18+94+$S94,MOD(MATCH(INDIRECT(ADDRESS(ROW(L94)-MOD(ROW(L94)-63,27),COLUMN(L94),4)),Singles!$A$2:$A$33,0)-1,16)+2,4))="","",INDIRECT("Singles."&amp;ADDRESS(QUOTIENT(MATCH(INDIRECT(ADDRESS(ROW(L94)-MOD(ROW(L94)-63,27),COLUMN(L94),4)),Singles!$A$2:$A$33,0)-1,16)*18+94+$S94,MOD(MATCH(INDIRECT(ADDRESS(ROW(L94)-MOD(ROW(L94)-63,27),COLUMN(L94),4)),Singles!$A$2:$A$33,0)-1,16)+2,4)))),"")</f>
        <v/>
      </c>
      <c r="M94" s="78" t="str">
        <f ca="1">IF(Singles!$B$36="Yes",IF(ISERROR(MATCH(INDIRECT(ADDRESS(ROW(M94)-MOD(ROW(M94)-63,27),COLUMN(M94),4)),Singles!$A$2:$A$33,0)),"",IF(INDIRECT("Singles."&amp;ADDRESS(QUOTIENT(MATCH(INDIRECT(ADDRESS(ROW(M94)-MOD(ROW(M94)-63,27),COLUMN(M94),4)),Singles!$A$2:$A$33,0)-1,16)*18+94+$S94,MOD(MATCH(INDIRECT(ADDRESS(ROW(M94)-MOD(ROW(M94)-63,27),COLUMN(M94),4)),Singles!$A$2:$A$33,0)-1,16)+2,4))="","",INDIRECT("Singles."&amp;ADDRESS(QUOTIENT(MATCH(INDIRECT(ADDRESS(ROW(M94)-MOD(ROW(M94)-63,27),COLUMN(M94),4)),Singles!$A$2:$A$33,0)-1,16)*18+94+$S94,MOD(MATCH(INDIRECT(ADDRESS(ROW(M94)-MOD(ROW(M94)-63,27),COLUMN(M94),4)),Singles!$A$2:$A$33,0)-1,16)+2,4)))),"")</f>
        <v/>
      </c>
      <c r="N94" s="78" t="str">
        <f ca="1">IF(Singles!$B$36="Yes",IF(ISERROR(MATCH(INDIRECT(ADDRESS(ROW(N94)-MOD(ROW(N94)-63,27),COLUMN(N94),4)),Singles!$A$2:$A$33,0)),"",IF(INDIRECT("Singles."&amp;ADDRESS(QUOTIENT(MATCH(INDIRECT(ADDRESS(ROW(N94)-MOD(ROW(N94)-63,27),COLUMN(N94),4)),Singles!$A$2:$A$33,0)-1,16)*18+94+$S94,MOD(MATCH(INDIRECT(ADDRESS(ROW(N94)-MOD(ROW(N94)-63,27),COLUMN(N94),4)),Singles!$A$2:$A$33,0)-1,16)+2,4))="","",INDIRECT("Singles."&amp;ADDRESS(QUOTIENT(MATCH(INDIRECT(ADDRESS(ROW(N94)-MOD(ROW(N94)-63,27),COLUMN(N94),4)),Singles!$A$2:$A$33,0)-1,16)*18+94+$S94,MOD(MATCH(INDIRECT(ADDRESS(ROW(N94)-MOD(ROW(N94)-63,27),COLUMN(N94),4)),Singles!$A$2:$A$33,0)-1,16)+2,4)))),"")</f>
        <v/>
      </c>
      <c r="O94" s="78" t="str">
        <f ca="1">IF(Singles!$B$36="Yes",IF(ISERROR(MATCH(INDIRECT(ADDRESS(ROW(O94)-MOD(ROW(O94)-63,27),COLUMN(O94),4)),Singles!$A$2:$A$33,0)),"",IF(INDIRECT("Singles."&amp;ADDRESS(QUOTIENT(MATCH(INDIRECT(ADDRESS(ROW(O94)-MOD(ROW(O94)-63,27),COLUMN(O94),4)),Singles!$A$2:$A$33,0)-1,16)*18+94+$S94,MOD(MATCH(INDIRECT(ADDRESS(ROW(O94)-MOD(ROW(O94)-63,27),COLUMN(O94),4)),Singles!$A$2:$A$33,0)-1,16)+2,4))="","",INDIRECT("Singles."&amp;ADDRESS(QUOTIENT(MATCH(INDIRECT(ADDRESS(ROW(O94)-MOD(ROW(O94)-63,27),COLUMN(O94),4)),Singles!$A$2:$A$33,0)-1,16)*18+94+$S94,MOD(MATCH(INDIRECT(ADDRESS(ROW(O94)-MOD(ROW(O94)-63,27),COLUMN(O94),4)),Singles!$A$2:$A$33,0)-1,16)+2,4)))),"")</f>
        <v/>
      </c>
      <c r="P94" s="78" t="str">
        <f ca="1">IF(Singles!$B$36="Yes",IF(ISERROR(MATCH(INDIRECT(ADDRESS(ROW(P94)-MOD(ROW(P94)-63,27),COLUMN(P94),4)),Singles!$A$2:$A$33,0)),"",IF(INDIRECT("Singles."&amp;ADDRESS(QUOTIENT(MATCH(INDIRECT(ADDRESS(ROW(P94)-MOD(ROW(P94)-63,27),COLUMN(P94),4)),Singles!$A$2:$A$33,0)-1,16)*18+94+$S94,MOD(MATCH(INDIRECT(ADDRESS(ROW(P94)-MOD(ROW(P94)-63,27),COLUMN(P94),4)),Singles!$A$2:$A$33,0)-1,16)+2,4))="","",INDIRECT("Singles."&amp;ADDRESS(QUOTIENT(MATCH(INDIRECT(ADDRESS(ROW(P94)-MOD(ROW(P94)-63,27),COLUMN(P94),4)),Singles!$A$2:$A$33,0)-1,16)*18+94+$S94,MOD(MATCH(INDIRECT(ADDRESS(ROW(P94)-MOD(ROW(P94)-63,27),COLUMN(P94),4)),Singles!$A$2:$A$33,0)-1,16)+2,4)))),"")</f>
        <v/>
      </c>
      <c r="Q94" s="78" t="str">
        <f ca="1">IF(Singles!$B$36="Yes",IF(ISERROR(MATCH(INDIRECT(ADDRESS(ROW(Q94)-MOD(ROW(Q94)-63,27),COLUMN(Q94),4)),Singles!$A$2:$A$33,0)),"",IF(INDIRECT("Singles."&amp;ADDRESS(QUOTIENT(MATCH(INDIRECT(ADDRESS(ROW(Q94)-MOD(ROW(Q94)-63,27),COLUMN(Q94),4)),Singles!$A$2:$A$33,0)-1,16)*18+94+$S94,MOD(MATCH(INDIRECT(ADDRESS(ROW(Q94)-MOD(ROW(Q94)-63,27),COLUMN(Q94),4)),Singles!$A$2:$A$33,0)-1,16)+2,4))="","",INDIRECT("Singles."&amp;ADDRESS(QUOTIENT(MATCH(INDIRECT(ADDRESS(ROW(Q94)-MOD(ROW(Q94)-63,27),COLUMN(Q94),4)),Singles!$A$2:$A$33,0)-1,16)*18+94+$S94,MOD(MATCH(INDIRECT(ADDRESS(ROW(Q94)-MOD(ROW(Q94)-63,27),COLUMN(Q94),4)),Singles!$A$2:$A$33,0)-1,16)+2,4)))),"")</f>
        <v/>
      </c>
      <c r="S94" s="5">
        <v>4</v>
      </c>
    </row>
    <row r="95" spans="1:19">
      <c r="A95" s="5">
        <v>5</v>
      </c>
      <c r="B95" s="78" t="str">
        <f ca="1">IF(Singles!$B$36="Yes",IF(ISERROR(MATCH(INDIRECT(ADDRESS(ROW(B95)-MOD(ROW(B95)-63,27),COLUMN(B95),4)),Singles!$A$2:$A$33,0)),"",IF(INDIRECT("Singles."&amp;ADDRESS(QUOTIENT(MATCH(INDIRECT(ADDRESS(ROW(B95)-MOD(ROW(B95)-63,27),COLUMN(B95),4)),Singles!$A$2:$A$33,0)-1,16)*18+94+$S95,MOD(MATCH(INDIRECT(ADDRESS(ROW(B95)-MOD(ROW(B95)-63,27),COLUMN(B95),4)),Singles!$A$2:$A$33,0)-1,16)+2,4))="","",INDIRECT("Singles."&amp;ADDRESS(QUOTIENT(MATCH(INDIRECT(ADDRESS(ROW(B95)-MOD(ROW(B95)-63,27),COLUMN(B95),4)),Singles!$A$2:$A$33,0)-1,16)*18+94+$S95,MOD(MATCH(INDIRECT(ADDRESS(ROW(B95)-MOD(ROW(B95)-63,27),COLUMN(B95),4)),Singles!$A$2:$A$33,0)-1,16)+2,4)))),"")</f>
        <v/>
      </c>
      <c r="C95" s="78" t="str">
        <f ca="1">IF(Singles!$B$36="Yes",IF(ISERROR(MATCH(INDIRECT(ADDRESS(ROW(C95)-MOD(ROW(C95)-63,27),COLUMN(C95),4)),Singles!$A$2:$A$33,0)),"",IF(INDIRECT("Singles."&amp;ADDRESS(QUOTIENT(MATCH(INDIRECT(ADDRESS(ROW(C95)-MOD(ROW(C95)-63,27),COLUMN(C95),4)),Singles!$A$2:$A$33,0)-1,16)*18+94+$S95,MOD(MATCH(INDIRECT(ADDRESS(ROW(C95)-MOD(ROW(C95)-63,27),COLUMN(C95),4)),Singles!$A$2:$A$33,0)-1,16)+2,4))="","",INDIRECT("Singles."&amp;ADDRESS(QUOTIENT(MATCH(INDIRECT(ADDRESS(ROW(C95)-MOD(ROW(C95)-63,27),COLUMN(C95),4)),Singles!$A$2:$A$33,0)-1,16)*18+94+$S95,MOD(MATCH(INDIRECT(ADDRESS(ROW(C95)-MOD(ROW(C95)-63,27),COLUMN(C95),4)),Singles!$A$2:$A$33,0)-1,16)+2,4)))),"")</f>
        <v/>
      </c>
      <c r="D95" s="78" t="str">
        <f ca="1">IF(Singles!$B$36="Yes",IF(ISERROR(MATCH(INDIRECT(ADDRESS(ROW(D95)-MOD(ROW(D95)-63,27),COLUMN(D95),4)),Singles!$A$2:$A$33,0)),"",IF(INDIRECT("Singles."&amp;ADDRESS(QUOTIENT(MATCH(INDIRECT(ADDRESS(ROW(D95)-MOD(ROW(D95)-63,27),COLUMN(D95),4)),Singles!$A$2:$A$33,0)-1,16)*18+94+$S95,MOD(MATCH(INDIRECT(ADDRESS(ROW(D95)-MOD(ROW(D95)-63,27),COLUMN(D95),4)),Singles!$A$2:$A$33,0)-1,16)+2,4))="","",INDIRECT("Singles."&amp;ADDRESS(QUOTIENT(MATCH(INDIRECT(ADDRESS(ROW(D95)-MOD(ROW(D95)-63,27),COLUMN(D95),4)),Singles!$A$2:$A$33,0)-1,16)*18+94+$S95,MOD(MATCH(INDIRECT(ADDRESS(ROW(D95)-MOD(ROW(D95)-63,27),COLUMN(D95),4)),Singles!$A$2:$A$33,0)-1,16)+2,4)))),"")</f>
        <v/>
      </c>
      <c r="E95" s="78" t="str">
        <f ca="1">IF(Singles!$B$36="Yes",IF(ISERROR(MATCH(INDIRECT(ADDRESS(ROW(E95)-MOD(ROW(E95)-63,27),COLUMN(E95),4)),Singles!$A$2:$A$33,0)),"",IF(INDIRECT("Singles."&amp;ADDRESS(QUOTIENT(MATCH(INDIRECT(ADDRESS(ROW(E95)-MOD(ROW(E95)-63,27),COLUMN(E95),4)),Singles!$A$2:$A$33,0)-1,16)*18+94+$S95,MOD(MATCH(INDIRECT(ADDRESS(ROW(E95)-MOD(ROW(E95)-63,27),COLUMN(E95),4)),Singles!$A$2:$A$33,0)-1,16)+2,4))="","",INDIRECT("Singles."&amp;ADDRESS(QUOTIENT(MATCH(INDIRECT(ADDRESS(ROW(E95)-MOD(ROW(E95)-63,27),COLUMN(E95),4)),Singles!$A$2:$A$33,0)-1,16)*18+94+$S95,MOD(MATCH(INDIRECT(ADDRESS(ROW(E95)-MOD(ROW(E95)-63,27),COLUMN(E95),4)),Singles!$A$2:$A$33,0)-1,16)+2,4)))),"")</f>
        <v/>
      </c>
      <c r="F95" s="78" t="str">
        <f ca="1">IF(Singles!$B$36="Yes",IF(ISERROR(MATCH(INDIRECT(ADDRESS(ROW(F95)-MOD(ROW(F95)-63,27),COLUMN(F95),4)),Singles!$A$2:$A$33,0)),"",IF(INDIRECT("Singles."&amp;ADDRESS(QUOTIENT(MATCH(INDIRECT(ADDRESS(ROW(F95)-MOD(ROW(F95)-63,27),COLUMN(F95),4)),Singles!$A$2:$A$33,0)-1,16)*18+94+$S95,MOD(MATCH(INDIRECT(ADDRESS(ROW(F95)-MOD(ROW(F95)-63,27),COLUMN(F95),4)),Singles!$A$2:$A$33,0)-1,16)+2,4))="","",INDIRECT("Singles."&amp;ADDRESS(QUOTIENT(MATCH(INDIRECT(ADDRESS(ROW(F95)-MOD(ROW(F95)-63,27),COLUMN(F95),4)),Singles!$A$2:$A$33,0)-1,16)*18+94+$S95,MOD(MATCH(INDIRECT(ADDRESS(ROW(F95)-MOD(ROW(F95)-63,27),COLUMN(F95),4)),Singles!$A$2:$A$33,0)-1,16)+2,4)))),"")</f>
        <v/>
      </c>
      <c r="G95" s="78" t="str">
        <f ca="1">IF(Singles!$B$36="Yes",IF(ISERROR(MATCH(INDIRECT(ADDRESS(ROW(G95)-MOD(ROW(G95)-63,27),COLUMN(G95),4)),Singles!$A$2:$A$33,0)),"",IF(INDIRECT("Singles."&amp;ADDRESS(QUOTIENT(MATCH(INDIRECT(ADDRESS(ROW(G95)-MOD(ROW(G95)-63,27),COLUMN(G95),4)),Singles!$A$2:$A$33,0)-1,16)*18+94+$S95,MOD(MATCH(INDIRECT(ADDRESS(ROW(G95)-MOD(ROW(G95)-63,27),COLUMN(G95),4)),Singles!$A$2:$A$33,0)-1,16)+2,4))="","",INDIRECT("Singles."&amp;ADDRESS(QUOTIENT(MATCH(INDIRECT(ADDRESS(ROW(G95)-MOD(ROW(G95)-63,27),COLUMN(G95),4)),Singles!$A$2:$A$33,0)-1,16)*18+94+$S95,MOD(MATCH(INDIRECT(ADDRESS(ROW(G95)-MOD(ROW(G95)-63,27),COLUMN(G95),4)),Singles!$A$2:$A$33,0)-1,16)+2,4)))),"")</f>
        <v/>
      </c>
      <c r="H95" s="78" t="str">
        <f ca="1">IF(Singles!$B$36="Yes",IF(ISERROR(MATCH(INDIRECT(ADDRESS(ROW(H95)-MOD(ROW(H95)-63,27),COLUMN(H95),4)),Singles!$A$2:$A$33,0)),"",IF(INDIRECT("Singles."&amp;ADDRESS(QUOTIENT(MATCH(INDIRECT(ADDRESS(ROW(H95)-MOD(ROW(H95)-63,27),COLUMN(H95),4)),Singles!$A$2:$A$33,0)-1,16)*18+94+$S95,MOD(MATCH(INDIRECT(ADDRESS(ROW(H95)-MOD(ROW(H95)-63,27),COLUMN(H95),4)),Singles!$A$2:$A$33,0)-1,16)+2,4))="","",INDIRECT("Singles."&amp;ADDRESS(QUOTIENT(MATCH(INDIRECT(ADDRESS(ROW(H95)-MOD(ROW(H95)-63,27),COLUMN(H95),4)),Singles!$A$2:$A$33,0)-1,16)*18+94+$S95,MOD(MATCH(INDIRECT(ADDRESS(ROW(H95)-MOD(ROW(H95)-63,27),COLUMN(H95),4)),Singles!$A$2:$A$33,0)-1,16)+2,4)))),"")</f>
        <v/>
      </c>
      <c r="I95" s="78" t="str">
        <f ca="1">IF(Singles!$B$36="Yes",IF(ISERROR(MATCH(INDIRECT(ADDRESS(ROW(I95)-MOD(ROW(I95)-63,27),COLUMN(I95),4)),Singles!$A$2:$A$33,0)),"",IF(INDIRECT("Singles."&amp;ADDRESS(QUOTIENT(MATCH(INDIRECT(ADDRESS(ROW(I95)-MOD(ROW(I95)-63,27),COLUMN(I95),4)),Singles!$A$2:$A$33,0)-1,16)*18+94+$S95,MOD(MATCH(INDIRECT(ADDRESS(ROW(I95)-MOD(ROW(I95)-63,27),COLUMN(I95),4)),Singles!$A$2:$A$33,0)-1,16)+2,4))="","",INDIRECT("Singles."&amp;ADDRESS(QUOTIENT(MATCH(INDIRECT(ADDRESS(ROW(I95)-MOD(ROW(I95)-63,27),COLUMN(I95),4)),Singles!$A$2:$A$33,0)-1,16)*18+94+$S95,MOD(MATCH(INDIRECT(ADDRESS(ROW(I95)-MOD(ROW(I95)-63,27),COLUMN(I95),4)),Singles!$A$2:$A$33,0)-1,16)+2,4)))),"")</f>
        <v/>
      </c>
      <c r="J95" s="78" t="str">
        <f ca="1">IF(Singles!$B$36="Yes",IF(ISERROR(MATCH(INDIRECT(ADDRESS(ROW(J95)-MOD(ROW(J95)-63,27),COLUMN(J95),4)),Singles!$A$2:$A$33,0)),"",IF(INDIRECT("Singles."&amp;ADDRESS(QUOTIENT(MATCH(INDIRECT(ADDRESS(ROW(J95)-MOD(ROW(J95)-63,27),COLUMN(J95),4)),Singles!$A$2:$A$33,0)-1,16)*18+94+$S95,MOD(MATCH(INDIRECT(ADDRESS(ROW(J95)-MOD(ROW(J95)-63,27),COLUMN(J95),4)),Singles!$A$2:$A$33,0)-1,16)+2,4))="","",INDIRECT("Singles."&amp;ADDRESS(QUOTIENT(MATCH(INDIRECT(ADDRESS(ROW(J95)-MOD(ROW(J95)-63,27),COLUMN(J95),4)),Singles!$A$2:$A$33,0)-1,16)*18+94+$S95,MOD(MATCH(INDIRECT(ADDRESS(ROW(J95)-MOD(ROW(J95)-63,27),COLUMN(J95),4)),Singles!$A$2:$A$33,0)-1,16)+2,4)))),"")</f>
        <v/>
      </c>
      <c r="K95" s="78" t="str">
        <f ca="1">IF(Singles!$B$36="Yes",IF(ISERROR(MATCH(INDIRECT(ADDRESS(ROW(K95)-MOD(ROW(K95)-63,27),COLUMN(K95),4)),Singles!$A$2:$A$33,0)),"",IF(INDIRECT("Singles."&amp;ADDRESS(QUOTIENT(MATCH(INDIRECT(ADDRESS(ROW(K95)-MOD(ROW(K95)-63,27),COLUMN(K95),4)),Singles!$A$2:$A$33,0)-1,16)*18+94+$S95,MOD(MATCH(INDIRECT(ADDRESS(ROW(K95)-MOD(ROW(K95)-63,27),COLUMN(K95),4)),Singles!$A$2:$A$33,0)-1,16)+2,4))="","",INDIRECT("Singles."&amp;ADDRESS(QUOTIENT(MATCH(INDIRECT(ADDRESS(ROW(K95)-MOD(ROW(K95)-63,27),COLUMN(K95),4)),Singles!$A$2:$A$33,0)-1,16)*18+94+$S95,MOD(MATCH(INDIRECT(ADDRESS(ROW(K95)-MOD(ROW(K95)-63,27),COLUMN(K95),4)),Singles!$A$2:$A$33,0)-1,16)+2,4)))),"")</f>
        <v/>
      </c>
      <c r="L95" s="78" t="str">
        <f ca="1">IF(Singles!$B$36="Yes",IF(ISERROR(MATCH(INDIRECT(ADDRESS(ROW(L95)-MOD(ROW(L95)-63,27),COLUMN(L95),4)),Singles!$A$2:$A$33,0)),"",IF(INDIRECT("Singles."&amp;ADDRESS(QUOTIENT(MATCH(INDIRECT(ADDRESS(ROW(L95)-MOD(ROW(L95)-63,27),COLUMN(L95),4)),Singles!$A$2:$A$33,0)-1,16)*18+94+$S95,MOD(MATCH(INDIRECT(ADDRESS(ROW(L95)-MOD(ROW(L95)-63,27),COLUMN(L95),4)),Singles!$A$2:$A$33,0)-1,16)+2,4))="","",INDIRECT("Singles."&amp;ADDRESS(QUOTIENT(MATCH(INDIRECT(ADDRESS(ROW(L95)-MOD(ROW(L95)-63,27),COLUMN(L95),4)),Singles!$A$2:$A$33,0)-1,16)*18+94+$S95,MOD(MATCH(INDIRECT(ADDRESS(ROW(L95)-MOD(ROW(L95)-63,27),COLUMN(L95),4)),Singles!$A$2:$A$33,0)-1,16)+2,4)))),"")</f>
        <v/>
      </c>
      <c r="M95" s="78" t="str">
        <f ca="1">IF(Singles!$B$36="Yes",IF(ISERROR(MATCH(INDIRECT(ADDRESS(ROW(M95)-MOD(ROW(M95)-63,27),COLUMN(M95),4)),Singles!$A$2:$A$33,0)),"",IF(INDIRECT("Singles."&amp;ADDRESS(QUOTIENT(MATCH(INDIRECT(ADDRESS(ROW(M95)-MOD(ROW(M95)-63,27),COLUMN(M95),4)),Singles!$A$2:$A$33,0)-1,16)*18+94+$S95,MOD(MATCH(INDIRECT(ADDRESS(ROW(M95)-MOD(ROW(M95)-63,27),COLUMN(M95),4)),Singles!$A$2:$A$33,0)-1,16)+2,4))="","",INDIRECT("Singles."&amp;ADDRESS(QUOTIENT(MATCH(INDIRECT(ADDRESS(ROW(M95)-MOD(ROW(M95)-63,27),COLUMN(M95),4)),Singles!$A$2:$A$33,0)-1,16)*18+94+$S95,MOD(MATCH(INDIRECT(ADDRESS(ROW(M95)-MOD(ROW(M95)-63,27),COLUMN(M95),4)),Singles!$A$2:$A$33,0)-1,16)+2,4)))),"")</f>
        <v/>
      </c>
      <c r="N95" s="78" t="str">
        <f ca="1">IF(Singles!$B$36="Yes",IF(ISERROR(MATCH(INDIRECT(ADDRESS(ROW(N95)-MOD(ROW(N95)-63,27),COLUMN(N95),4)),Singles!$A$2:$A$33,0)),"",IF(INDIRECT("Singles."&amp;ADDRESS(QUOTIENT(MATCH(INDIRECT(ADDRESS(ROW(N95)-MOD(ROW(N95)-63,27),COLUMN(N95),4)),Singles!$A$2:$A$33,0)-1,16)*18+94+$S95,MOD(MATCH(INDIRECT(ADDRESS(ROW(N95)-MOD(ROW(N95)-63,27),COLUMN(N95),4)),Singles!$A$2:$A$33,0)-1,16)+2,4))="","",INDIRECT("Singles."&amp;ADDRESS(QUOTIENT(MATCH(INDIRECT(ADDRESS(ROW(N95)-MOD(ROW(N95)-63,27),COLUMN(N95),4)),Singles!$A$2:$A$33,0)-1,16)*18+94+$S95,MOD(MATCH(INDIRECT(ADDRESS(ROW(N95)-MOD(ROW(N95)-63,27),COLUMN(N95),4)),Singles!$A$2:$A$33,0)-1,16)+2,4)))),"")</f>
        <v/>
      </c>
      <c r="O95" s="78" t="str">
        <f ca="1">IF(Singles!$B$36="Yes",IF(ISERROR(MATCH(INDIRECT(ADDRESS(ROW(O95)-MOD(ROW(O95)-63,27),COLUMN(O95),4)),Singles!$A$2:$A$33,0)),"",IF(INDIRECT("Singles."&amp;ADDRESS(QUOTIENT(MATCH(INDIRECT(ADDRESS(ROW(O95)-MOD(ROW(O95)-63,27),COLUMN(O95),4)),Singles!$A$2:$A$33,0)-1,16)*18+94+$S95,MOD(MATCH(INDIRECT(ADDRESS(ROW(O95)-MOD(ROW(O95)-63,27),COLUMN(O95),4)),Singles!$A$2:$A$33,0)-1,16)+2,4))="","",INDIRECT("Singles."&amp;ADDRESS(QUOTIENT(MATCH(INDIRECT(ADDRESS(ROW(O95)-MOD(ROW(O95)-63,27),COLUMN(O95),4)),Singles!$A$2:$A$33,0)-1,16)*18+94+$S95,MOD(MATCH(INDIRECT(ADDRESS(ROW(O95)-MOD(ROW(O95)-63,27),COLUMN(O95),4)),Singles!$A$2:$A$33,0)-1,16)+2,4)))),"")</f>
        <v/>
      </c>
      <c r="P95" s="78" t="str">
        <f ca="1">IF(Singles!$B$36="Yes",IF(ISERROR(MATCH(INDIRECT(ADDRESS(ROW(P95)-MOD(ROW(P95)-63,27),COLUMN(P95),4)),Singles!$A$2:$A$33,0)),"",IF(INDIRECT("Singles."&amp;ADDRESS(QUOTIENT(MATCH(INDIRECT(ADDRESS(ROW(P95)-MOD(ROW(P95)-63,27),COLUMN(P95),4)),Singles!$A$2:$A$33,0)-1,16)*18+94+$S95,MOD(MATCH(INDIRECT(ADDRESS(ROW(P95)-MOD(ROW(P95)-63,27),COLUMN(P95),4)),Singles!$A$2:$A$33,0)-1,16)+2,4))="","",INDIRECT("Singles."&amp;ADDRESS(QUOTIENT(MATCH(INDIRECT(ADDRESS(ROW(P95)-MOD(ROW(P95)-63,27),COLUMN(P95),4)),Singles!$A$2:$A$33,0)-1,16)*18+94+$S95,MOD(MATCH(INDIRECT(ADDRESS(ROW(P95)-MOD(ROW(P95)-63,27),COLUMN(P95),4)),Singles!$A$2:$A$33,0)-1,16)+2,4)))),"")</f>
        <v/>
      </c>
      <c r="Q95" s="78" t="str">
        <f ca="1">IF(Singles!$B$36="Yes",IF(ISERROR(MATCH(INDIRECT(ADDRESS(ROW(Q95)-MOD(ROW(Q95)-63,27),COLUMN(Q95),4)),Singles!$A$2:$A$33,0)),"",IF(INDIRECT("Singles."&amp;ADDRESS(QUOTIENT(MATCH(INDIRECT(ADDRESS(ROW(Q95)-MOD(ROW(Q95)-63,27),COLUMN(Q95),4)),Singles!$A$2:$A$33,0)-1,16)*18+94+$S95,MOD(MATCH(INDIRECT(ADDRESS(ROW(Q95)-MOD(ROW(Q95)-63,27),COLUMN(Q95),4)),Singles!$A$2:$A$33,0)-1,16)+2,4))="","",INDIRECT("Singles."&amp;ADDRESS(QUOTIENT(MATCH(INDIRECT(ADDRESS(ROW(Q95)-MOD(ROW(Q95)-63,27),COLUMN(Q95),4)),Singles!$A$2:$A$33,0)-1,16)*18+94+$S95,MOD(MATCH(INDIRECT(ADDRESS(ROW(Q95)-MOD(ROW(Q95)-63,27),COLUMN(Q95),4)),Singles!$A$2:$A$33,0)-1,16)+2,4)))),"")</f>
        <v/>
      </c>
      <c r="S95" s="5">
        <v>5</v>
      </c>
    </row>
    <row r="96" spans="1:19">
      <c r="A96" s="5">
        <v>6</v>
      </c>
      <c r="B96" s="78" t="str">
        <f ca="1">IF(Singles!$B$36="Yes",IF(ISERROR(MATCH(INDIRECT(ADDRESS(ROW(B96)-MOD(ROW(B96)-63,27),COLUMN(B96),4)),Singles!$A$2:$A$33,0)),"",IF(INDIRECT("Singles."&amp;ADDRESS(QUOTIENT(MATCH(INDIRECT(ADDRESS(ROW(B96)-MOD(ROW(B96)-63,27),COLUMN(B96),4)),Singles!$A$2:$A$33,0)-1,16)*18+94+$S96,MOD(MATCH(INDIRECT(ADDRESS(ROW(B96)-MOD(ROW(B96)-63,27),COLUMN(B96),4)),Singles!$A$2:$A$33,0)-1,16)+2,4))="","",INDIRECT("Singles."&amp;ADDRESS(QUOTIENT(MATCH(INDIRECT(ADDRESS(ROW(B96)-MOD(ROW(B96)-63,27),COLUMN(B96),4)),Singles!$A$2:$A$33,0)-1,16)*18+94+$S96,MOD(MATCH(INDIRECT(ADDRESS(ROW(B96)-MOD(ROW(B96)-63,27),COLUMN(B96),4)),Singles!$A$2:$A$33,0)-1,16)+2,4)))),"")</f>
        <v/>
      </c>
      <c r="C96" s="78" t="str">
        <f ca="1">IF(Singles!$B$36="Yes",IF(ISERROR(MATCH(INDIRECT(ADDRESS(ROW(C96)-MOD(ROW(C96)-63,27),COLUMN(C96),4)),Singles!$A$2:$A$33,0)),"",IF(INDIRECT("Singles."&amp;ADDRESS(QUOTIENT(MATCH(INDIRECT(ADDRESS(ROW(C96)-MOD(ROW(C96)-63,27),COLUMN(C96),4)),Singles!$A$2:$A$33,0)-1,16)*18+94+$S96,MOD(MATCH(INDIRECT(ADDRESS(ROW(C96)-MOD(ROW(C96)-63,27),COLUMN(C96),4)),Singles!$A$2:$A$33,0)-1,16)+2,4))="","",INDIRECT("Singles."&amp;ADDRESS(QUOTIENT(MATCH(INDIRECT(ADDRESS(ROW(C96)-MOD(ROW(C96)-63,27),COLUMN(C96),4)),Singles!$A$2:$A$33,0)-1,16)*18+94+$S96,MOD(MATCH(INDIRECT(ADDRESS(ROW(C96)-MOD(ROW(C96)-63,27),COLUMN(C96),4)),Singles!$A$2:$A$33,0)-1,16)+2,4)))),"")</f>
        <v/>
      </c>
      <c r="D96" s="78" t="str">
        <f ca="1">IF(Singles!$B$36="Yes",IF(ISERROR(MATCH(INDIRECT(ADDRESS(ROW(D96)-MOD(ROW(D96)-63,27),COLUMN(D96),4)),Singles!$A$2:$A$33,0)),"",IF(INDIRECT("Singles."&amp;ADDRESS(QUOTIENT(MATCH(INDIRECT(ADDRESS(ROW(D96)-MOD(ROW(D96)-63,27),COLUMN(D96),4)),Singles!$A$2:$A$33,0)-1,16)*18+94+$S96,MOD(MATCH(INDIRECT(ADDRESS(ROW(D96)-MOD(ROW(D96)-63,27),COLUMN(D96),4)),Singles!$A$2:$A$33,0)-1,16)+2,4))="","",INDIRECT("Singles."&amp;ADDRESS(QUOTIENT(MATCH(INDIRECT(ADDRESS(ROW(D96)-MOD(ROW(D96)-63,27),COLUMN(D96),4)),Singles!$A$2:$A$33,0)-1,16)*18+94+$S96,MOD(MATCH(INDIRECT(ADDRESS(ROW(D96)-MOD(ROW(D96)-63,27),COLUMN(D96),4)),Singles!$A$2:$A$33,0)-1,16)+2,4)))),"")</f>
        <v/>
      </c>
      <c r="E96" s="78" t="str">
        <f ca="1">IF(Singles!$B$36="Yes",IF(ISERROR(MATCH(INDIRECT(ADDRESS(ROW(E96)-MOD(ROW(E96)-63,27),COLUMN(E96),4)),Singles!$A$2:$A$33,0)),"",IF(INDIRECT("Singles."&amp;ADDRESS(QUOTIENT(MATCH(INDIRECT(ADDRESS(ROW(E96)-MOD(ROW(E96)-63,27),COLUMN(E96),4)),Singles!$A$2:$A$33,0)-1,16)*18+94+$S96,MOD(MATCH(INDIRECT(ADDRESS(ROW(E96)-MOD(ROW(E96)-63,27),COLUMN(E96),4)),Singles!$A$2:$A$33,0)-1,16)+2,4))="","",INDIRECT("Singles."&amp;ADDRESS(QUOTIENT(MATCH(INDIRECT(ADDRESS(ROW(E96)-MOD(ROW(E96)-63,27),COLUMN(E96),4)),Singles!$A$2:$A$33,0)-1,16)*18+94+$S96,MOD(MATCH(INDIRECT(ADDRESS(ROW(E96)-MOD(ROW(E96)-63,27),COLUMN(E96),4)),Singles!$A$2:$A$33,0)-1,16)+2,4)))),"")</f>
        <v/>
      </c>
      <c r="F96" s="78" t="str">
        <f ca="1">IF(Singles!$B$36="Yes",IF(ISERROR(MATCH(INDIRECT(ADDRESS(ROW(F96)-MOD(ROW(F96)-63,27),COLUMN(F96),4)),Singles!$A$2:$A$33,0)),"",IF(INDIRECT("Singles."&amp;ADDRESS(QUOTIENT(MATCH(INDIRECT(ADDRESS(ROW(F96)-MOD(ROW(F96)-63,27),COLUMN(F96),4)),Singles!$A$2:$A$33,0)-1,16)*18+94+$S96,MOD(MATCH(INDIRECT(ADDRESS(ROW(F96)-MOD(ROW(F96)-63,27),COLUMN(F96),4)),Singles!$A$2:$A$33,0)-1,16)+2,4))="","",INDIRECT("Singles."&amp;ADDRESS(QUOTIENT(MATCH(INDIRECT(ADDRESS(ROW(F96)-MOD(ROW(F96)-63,27),COLUMN(F96),4)),Singles!$A$2:$A$33,0)-1,16)*18+94+$S96,MOD(MATCH(INDIRECT(ADDRESS(ROW(F96)-MOD(ROW(F96)-63,27),COLUMN(F96),4)),Singles!$A$2:$A$33,0)-1,16)+2,4)))),"")</f>
        <v/>
      </c>
      <c r="G96" s="78" t="str">
        <f ca="1">IF(Singles!$B$36="Yes",IF(ISERROR(MATCH(INDIRECT(ADDRESS(ROW(G96)-MOD(ROW(G96)-63,27),COLUMN(G96),4)),Singles!$A$2:$A$33,0)),"",IF(INDIRECT("Singles."&amp;ADDRESS(QUOTIENT(MATCH(INDIRECT(ADDRESS(ROW(G96)-MOD(ROW(G96)-63,27),COLUMN(G96),4)),Singles!$A$2:$A$33,0)-1,16)*18+94+$S96,MOD(MATCH(INDIRECT(ADDRESS(ROW(G96)-MOD(ROW(G96)-63,27),COLUMN(G96),4)),Singles!$A$2:$A$33,0)-1,16)+2,4))="","",INDIRECT("Singles."&amp;ADDRESS(QUOTIENT(MATCH(INDIRECT(ADDRESS(ROW(G96)-MOD(ROW(G96)-63,27),COLUMN(G96),4)),Singles!$A$2:$A$33,0)-1,16)*18+94+$S96,MOD(MATCH(INDIRECT(ADDRESS(ROW(G96)-MOD(ROW(G96)-63,27),COLUMN(G96),4)),Singles!$A$2:$A$33,0)-1,16)+2,4)))),"")</f>
        <v/>
      </c>
      <c r="H96" s="78" t="str">
        <f ca="1">IF(Singles!$B$36="Yes",IF(ISERROR(MATCH(INDIRECT(ADDRESS(ROW(H96)-MOD(ROW(H96)-63,27),COLUMN(H96),4)),Singles!$A$2:$A$33,0)),"",IF(INDIRECT("Singles."&amp;ADDRESS(QUOTIENT(MATCH(INDIRECT(ADDRESS(ROW(H96)-MOD(ROW(H96)-63,27),COLUMN(H96),4)),Singles!$A$2:$A$33,0)-1,16)*18+94+$S96,MOD(MATCH(INDIRECT(ADDRESS(ROW(H96)-MOD(ROW(H96)-63,27),COLUMN(H96),4)),Singles!$A$2:$A$33,0)-1,16)+2,4))="","",INDIRECT("Singles."&amp;ADDRESS(QUOTIENT(MATCH(INDIRECT(ADDRESS(ROW(H96)-MOD(ROW(H96)-63,27),COLUMN(H96),4)),Singles!$A$2:$A$33,0)-1,16)*18+94+$S96,MOD(MATCH(INDIRECT(ADDRESS(ROW(H96)-MOD(ROW(H96)-63,27),COLUMN(H96),4)),Singles!$A$2:$A$33,0)-1,16)+2,4)))),"")</f>
        <v/>
      </c>
      <c r="I96" s="78" t="str">
        <f ca="1">IF(Singles!$B$36="Yes",IF(ISERROR(MATCH(INDIRECT(ADDRESS(ROW(I96)-MOD(ROW(I96)-63,27),COLUMN(I96),4)),Singles!$A$2:$A$33,0)),"",IF(INDIRECT("Singles."&amp;ADDRESS(QUOTIENT(MATCH(INDIRECT(ADDRESS(ROW(I96)-MOD(ROW(I96)-63,27),COLUMN(I96),4)),Singles!$A$2:$A$33,0)-1,16)*18+94+$S96,MOD(MATCH(INDIRECT(ADDRESS(ROW(I96)-MOD(ROW(I96)-63,27),COLUMN(I96),4)),Singles!$A$2:$A$33,0)-1,16)+2,4))="","",INDIRECT("Singles."&amp;ADDRESS(QUOTIENT(MATCH(INDIRECT(ADDRESS(ROW(I96)-MOD(ROW(I96)-63,27),COLUMN(I96),4)),Singles!$A$2:$A$33,0)-1,16)*18+94+$S96,MOD(MATCH(INDIRECT(ADDRESS(ROW(I96)-MOD(ROW(I96)-63,27),COLUMN(I96),4)),Singles!$A$2:$A$33,0)-1,16)+2,4)))),"")</f>
        <v/>
      </c>
      <c r="J96" s="78" t="str">
        <f ca="1">IF(Singles!$B$36="Yes",IF(ISERROR(MATCH(INDIRECT(ADDRESS(ROW(J96)-MOD(ROW(J96)-63,27),COLUMN(J96),4)),Singles!$A$2:$A$33,0)),"",IF(INDIRECT("Singles."&amp;ADDRESS(QUOTIENT(MATCH(INDIRECT(ADDRESS(ROW(J96)-MOD(ROW(J96)-63,27),COLUMN(J96),4)),Singles!$A$2:$A$33,0)-1,16)*18+94+$S96,MOD(MATCH(INDIRECT(ADDRESS(ROW(J96)-MOD(ROW(J96)-63,27),COLUMN(J96),4)),Singles!$A$2:$A$33,0)-1,16)+2,4))="","",INDIRECT("Singles."&amp;ADDRESS(QUOTIENT(MATCH(INDIRECT(ADDRESS(ROW(J96)-MOD(ROW(J96)-63,27),COLUMN(J96),4)),Singles!$A$2:$A$33,0)-1,16)*18+94+$S96,MOD(MATCH(INDIRECT(ADDRESS(ROW(J96)-MOD(ROW(J96)-63,27),COLUMN(J96),4)),Singles!$A$2:$A$33,0)-1,16)+2,4)))),"")</f>
        <v/>
      </c>
      <c r="K96" s="78" t="str">
        <f ca="1">IF(Singles!$B$36="Yes",IF(ISERROR(MATCH(INDIRECT(ADDRESS(ROW(K96)-MOD(ROW(K96)-63,27),COLUMN(K96),4)),Singles!$A$2:$A$33,0)),"",IF(INDIRECT("Singles."&amp;ADDRESS(QUOTIENT(MATCH(INDIRECT(ADDRESS(ROW(K96)-MOD(ROW(K96)-63,27),COLUMN(K96),4)),Singles!$A$2:$A$33,0)-1,16)*18+94+$S96,MOD(MATCH(INDIRECT(ADDRESS(ROW(K96)-MOD(ROW(K96)-63,27),COLUMN(K96),4)),Singles!$A$2:$A$33,0)-1,16)+2,4))="","",INDIRECT("Singles."&amp;ADDRESS(QUOTIENT(MATCH(INDIRECT(ADDRESS(ROW(K96)-MOD(ROW(K96)-63,27),COLUMN(K96),4)),Singles!$A$2:$A$33,0)-1,16)*18+94+$S96,MOD(MATCH(INDIRECT(ADDRESS(ROW(K96)-MOD(ROW(K96)-63,27),COLUMN(K96),4)),Singles!$A$2:$A$33,0)-1,16)+2,4)))),"")</f>
        <v/>
      </c>
      <c r="L96" s="78" t="str">
        <f ca="1">IF(Singles!$B$36="Yes",IF(ISERROR(MATCH(INDIRECT(ADDRESS(ROW(L96)-MOD(ROW(L96)-63,27),COLUMN(L96),4)),Singles!$A$2:$A$33,0)),"",IF(INDIRECT("Singles."&amp;ADDRESS(QUOTIENT(MATCH(INDIRECT(ADDRESS(ROW(L96)-MOD(ROW(L96)-63,27),COLUMN(L96),4)),Singles!$A$2:$A$33,0)-1,16)*18+94+$S96,MOD(MATCH(INDIRECT(ADDRESS(ROW(L96)-MOD(ROW(L96)-63,27),COLUMN(L96),4)),Singles!$A$2:$A$33,0)-1,16)+2,4))="","",INDIRECT("Singles."&amp;ADDRESS(QUOTIENT(MATCH(INDIRECT(ADDRESS(ROW(L96)-MOD(ROW(L96)-63,27),COLUMN(L96),4)),Singles!$A$2:$A$33,0)-1,16)*18+94+$S96,MOD(MATCH(INDIRECT(ADDRESS(ROW(L96)-MOD(ROW(L96)-63,27),COLUMN(L96),4)),Singles!$A$2:$A$33,0)-1,16)+2,4)))),"")</f>
        <v/>
      </c>
      <c r="M96" s="78" t="str">
        <f ca="1">IF(Singles!$B$36="Yes",IF(ISERROR(MATCH(INDIRECT(ADDRESS(ROW(M96)-MOD(ROW(M96)-63,27),COLUMN(M96),4)),Singles!$A$2:$A$33,0)),"",IF(INDIRECT("Singles."&amp;ADDRESS(QUOTIENT(MATCH(INDIRECT(ADDRESS(ROW(M96)-MOD(ROW(M96)-63,27),COLUMN(M96),4)),Singles!$A$2:$A$33,0)-1,16)*18+94+$S96,MOD(MATCH(INDIRECT(ADDRESS(ROW(M96)-MOD(ROW(M96)-63,27),COLUMN(M96),4)),Singles!$A$2:$A$33,0)-1,16)+2,4))="","",INDIRECT("Singles."&amp;ADDRESS(QUOTIENT(MATCH(INDIRECT(ADDRESS(ROW(M96)-MOD(ROW(M96)-63,27),COLUMN(M96),4)),Singles!$A$2:$A$33,0)-1,16)*18+94+$S96,MOD(MATCH(INDIRECT(ADDRESS(ROW(M96)-MOD(ROW(M96)-63,27),COLUMN(M96),4)),Singles!$A$2:$A$33,0)-1,16)+2,4)))),"")</f>
        <v/>
      </c>
      <c r="N96" s="78" t="str">
        <f ca="1">IF(Singles!$B$36="Yes",IF(ISERROR(MATCH(INDIRECT(ADDRESS(ROW(N96)-MOD(ROW(N96)-63,27),COLUMN(N96),4)),Singles!$A$2:$A$33,0)),"",IF(INDIRECT("Singles."&amp;ADDRESS(QUOTIENT(MATCH(INDIRECT(ADDRESS(ROW(N96)-MOD(ROW(N96)-63,27),COLUMN(N96),4)),Singles!$A$2:$A$33,0)-1,16)*18+94+$S96,MOD(MATCH(INDIRECT(ADDRESS(ROW(N96)-MOD(ROW(N96)-63,27),COLUMN(N96),4)),Singles!$A$2:$A$33,0)-1,16)+2,4))="","",INDIRECT("Singles."&amp;ADDRESS(QUOTIENT(MATCH(INDIRECT(ADDRESS(ROW(N96)-MOD(ROW(N96)-63,27),COLUMN(N96),4)),Singles!$A$2:$A$33,0)-1,16)*18+94+$S96,MOD(MATCH(INDIRECT(ADDRESS(ROW(N96)-MOD(ROW(N96)-63,27),COLUMN(N96),4)),Singles!$A$2:$A$33,0)-1,16)+2,4)))),"")</f>
        <v/>
      </c>
      <c r="O96" s="78" t="str">
        <f ca="1">IF(Singles!$B$36="Yes",IF(ISERROR(MATCH(INDIRECT(ADDRESS(ROW(O96)-MOD(ROW(O96)-63,27),COLUMN(O96),4)),Singles!$A$2:$A$33,0)),"",IF(INDIRECT("Singles."&amp;ADDRESS(QUOTIENT(MATCH(INDIRECT(ADDRESS(ROW(O96)-MOD(ROW(O96)-63,27),COLUMN(O96),4)),Singles!$A$2:$A$33,0)-1,16)*18+94+$S96,MOD(MATCH(INDIRECT(ADDRESS(ROW(O96)-MOD(ROW(O96)-63,27),COLUMN(O96),4)),Singles!$A$2:$A$33,0)-1,16)+2,4))="","",INDIRECT("Singles."&amp;ADDRESS(QUOTIENT(MATCH(INDIRECT(ADDRESS(ROW(O96)-MOD(ROW(O96)-63,27),COLUMN(O96),4)),Singles!$A$2:$A$33,0)-1,16)*18+94+$S96,MOD(MATCH(INDIRECT(ADDRESS(ROW(O96)-MOD(ROW(O96)-63,27),COLUMN(O96),4)),Singles!$A$2:$A$33,0)-1,16)+2,4)))),"")</f>
        <v/>
      </c>
      <c r="P96" s="78" t="str">
        <f ca="1">IF(Singles!$B$36="Yes",IF(ISERROR(MATCH(INDIRECT(ADDRESS(ROW(P96)-MOD(ROW(P96)-63,27),COLUMN(P96),4)),Singles!$A$2:$A$33,0)),"",IF(INDIRECT("Singles."&amp;ADDRESS(QUOTIENT(MATCH(INDIRECT(ADDRESS(ROW(P96)-MOD(ROW(P96)-63,27),COLUMN(P96),4)),Singles!$A$2:$A$33,0)-1,16)*18+94+$S96,MOD(MATCH(INDIRECT(ADDRESS(ROW(P96)-MOD(ROW(P96)-63,27),COLUMN(P96),4)),Singles!$A$2:$A$33,0)-1,16)+2,4))="","",INDIRECT("Singles."&amp;ADDRESS(QUOTIENT(MATCH(INDIRECT(ADDRESS(ROW(P96)-MOD(ROW(P96)-63,27),COLUMN(P96),4)),Singles!$A$2:$A$33,0)-1,16)*18+94+$S96,MOD(MATCH(INDIRECT(ADDRESS(ROW(P96)-MOD(ROW(P96)-63,27),COLUMN(P96),4)),Singles!$A$2:$A$33,0)-1,16)+2,4)))),"")</f>
        <v/>
      </c>
      <c r="Q96" s="78" t="str">
        <f ca="1">IF(Singles!$B$36="Yes",IF(ISERROR(MATCH(INDIRECT(ADDRESS(ROW(Q96)-MOD(ROW(Q96)-63,27),COLUMN(Q96),4)),Singles!$A$2:$A$33,0)),"",IF(INDIRECT("Singles."&amp;ADDRESS(QUOTIENT(MATCH(INDIRECT(ADDRESS(ROW(Q96)-MOD(ROW(Q96)-63,27),COLUMN(Q96),4)),Singles!$A$2:$A$33,0)-1,16)*18+94+$S96,MOD(MATCH(INDIRECT(ADDRESS(ROW(Q96)-MOD(ROW(Q96)-63,27),COLUMN(Q96),4)),Singles!$A$2:$A$33,0)-1,16)+2,4))="","",INDIRECT("Singles."&amp;ADDRESS(QUOTIENT(MATCH(INDIRECT(ADDRESS(ROW(Q96)-MOD(ROW(Q96)-63,27),COLUMN(Q96),4)),Singles!$A$2:$A$33,0)-1,16)*18+94+$S96,MOD(MATCH(INDIRECT(ADDRESS(ROW(Q96)-MOD(ROW(Q96)-63,27),COLUMN(Q96),4)),Singles!$A$2:$A$33,0)-1,16)+2,4)))),"")</f>
        <v/>
      </c>
      <c r="S96" s="5">
        <v>6</v>
      </c>
    </row>
    <row r="97" spans="1:19">
      <c r="A97" s="5">
        <v>7</v>
      </c>
      <c r="B97" s="78" t="str">
        <f ca="1">IF(Singles!$B$36="Yes",IF(ISERROR(MATCH(INDIRECT(ADDRESS(ROW(B97)-MOD(ROW(B97)-63,27),COLUMN(B97),4)),Singles!$A$2:$A$33,0)),"",IF(INDIRECT("Singles."&amp;ADDRESS(QUOTIENT(MATCH(INDIRECT(ADDRESS(ROW(B97)-MOD(ROW(B97)-63,27),COLUMN(B97),4)),Singles!$A$2:$A$33,0)-1,16)*18+94+$S97,MOD(MATCH(INDIRECT(ADDRESS(ROW(B97)-MOD(ROW(B97)-63,27),COLUMN(B97),4)),Singles!$A$2:$A$33,0)-1,16)+2,4))="","",INDIRECT("Singles."&amp;ADDRESS(QUOTIENT(MATCH(INDIRECT(ADDRESS(ROW(B97)-MOD(ROW(B97)-63,27),COLUMN(B97),4)),Singles!$A$2:$A$33,0)-1,16)*18+94+$S97,MOD(MATCH(INDIRECT(ADDRESS(ROW(B97)-MOD(ROW(B97)-63,27),COLUMN(B97),4)),Singles!$A$2:$A$33,0)-1,16)+2,4)))),"")</f>
        <v/>
      </c>
      <c r="C97" s="78" t="str">
        <f ca="1">IF(Singles!$B$36="Yes",IF(ISERROR(MATCH(INDIRECT(ADDRESS(ROW(C97)-MOD(ROW(C97)-63,27),COLUMN(C97),4)),Singles!$A$2:$A$33,0)),"",IF(INDIRECT("Singles."&amp;ADDRESS(QUOTIENT(MATCH(INDIRECT(ADDRESS(ROW(C97)-MOD(ROW(C97)-63,27),COLUMN(C97),4)),Singles!$A$2:$A$33,0)-1,16)*18+94+$S97,MOD(MATCH(INDIRECT(ADDRESS(ROW(C97)-MOD(ROW(C97)-63,27),COLUMN(C97),4)),Singles!$A$2:$A$33,0)-1,16)+2,4))="","",INDIRECT("Singles."&amp;ADDRESS(QUOTIENT(MATCH(INDIRECT(ADDRESS(ROW(C97)-MOD(ROW(C97)-63,27),COLUMN(C97),4)),Singles!$A$2:$A$33,0)-1,16)*18+94+$S97,MOD(MATCH(INDIRECT(ADDRESS(ROW(C97)-MOD(ROW(C97)-63,27),COLUMN(C97),4)),Singles!$A$2:$A$33,0)-1,16)+2,4)))),"")</f>
        <v/>
      </c>
      <c r="D97" s="78" t="str">
        <f ca="1">IF(Singles!$B$36="Yes",IF(ISERROR(MATCH(INDIRECT(ADDRESS(ROW(D97)-MOD(ROW(D97)-63,27),COLUMN(D97),4)),Singles!$A$2:$A$33,0)),"",IF(INDIRECT("Singles."&amp;ADDRESS(QUOTIENT(MATCH(INDIRECT(ADDRESS(ROW(D97)-MOD(ROW(D97)-63,27),COLUMN(D97),4)),Singles!$A$2:$A$33,0)-1,16)*18+94+$S97,MOD(MATCH(INDIRECT(ADDRESS(ROW(D97)-MOD(ROW(D97)-63,27),COLUMN(D97),4)),Singles!$A$2:$A$33,0)-1,16)+2,4))="","",INDIRECT("Singles."&amp;ADDRESS(QUOTIENT(MATCH(INDIRECT(ADDRESS(ROW(D97)-MOD(ROW(D97)-63,27),COLUMN(D97),4)),Singles!$A$2:$A$33,0)-1,16)*18+94+$S97,MOD(MATCH(INDIRECT(ADDRESS(ROW(D97)-MOD(ROW(D97)-63,27),COLUMN(D97),4)),Singles!$A$2:$A$33,0)-1,16)+2,4)))),"")</f>
        <v/>
      </c>
      <c r="E97" s="78" t="str">
        <f ca="1">IF(Singles!$B$36="Yes",IF(ISERROR(MATCH(INDIRECT(ADDRESS(ROW(E97)-MOD(ROW(E97)-63,27),COLUMN(E97),4)),Singles!$A$2:$A$33,0)),"",IF(INDIRECT("Singles."&amp;ADDRESS(QUOTIENT(MATCH(INDIRECT(ADDRESS(ROW(E97)-MOD(ROW(E97)-63,27),COLUMN(E97),4)),Singles!$A$2:$A$33,0)-1,16)*18+94+$S97,MOD(MATCH(INDIRECT(ADDRESS(ROW(E97)-MOD(ROW(E97)-63,27),COLUMN(E97),4)),Singles!$A$2:$A$33,0)-1,16)+2,4))="","",INDIRECT("Singles."&amp;ADDRESS(QUOTIENT(MATCH(INDIRECT(ADDRESS(ROW(E97)-MOD(ROW(E97)-63,27),COLUMN(E97),4)),Singles!$A$2:$A$33,0)-1,16)*18+94+$S97,MOD(MATCH(INDIRECT(ADDRESS(ROW(E97)-MOD(ROW(E97)-63,27),COLUMN(E97),4)),Singles!$A$2:$A$33,0)-1,16)+2,4)))),"")</f>
        <v/>
      </c>
      <c r="F97" s="78" t="str">
        <f ca="1">IF(Singles!$B$36="Yes",IF(ISERROR(MATCH(INDIRECT(ADDRESS(ROW(F97)-MOD(ROW(F97)-63,27),COLUMN(F97),4)),Singles!$A$2:$A$33,0)),"",IF(INDIRECT("Singles."&amp;ADDRESS(QUOTIENT(MATCH(INDIRECT(ADDRESS(ROW(F97)-MOD(ROW(F97)-63,27),COLUMN(F97),4)),Singles!$A$2:$A$33,0)-1,16)*18+94+$S97,MOD(MATCH(INDIRECT(ADDRESS(ROW(F97)-MOD(ROW(F97)-63,27),COLUMN(F97),4)),Singles!$A$2:$A$33,0)-1,16)+2,4))="","",INDIRECT("Singles."&amp;ADDRESS(QUOTIENT(MATCH(INDIRECT(ADDRESS(ROW(F97)-MOD(ROW(F97)-63,27),COLUMN(F97),4)),Singles!$A$2:$A$33,0)-1,16)*18+94+$S97,MOD(MATCH(INDIRECT(ADDRESS(ROW(F97)-MOD(ROW(F97)-63,27),COLUMN(F97),4)),Singles!$A$2:$A$33,0)-1,16)+2,4)))),"")</f>
        <v/>
      </c>
      <c r="G97" s="78" t="str">
        <f ca="1">IF(Singles!$B$36="Yes",IF(ISERROR(MATCH(INDIRECT(ADDRESS(ROW(G97)-MOD(ROW(G97)-63,27),COLUMN(G97),4)),Singles!$A$2:$A$33,0)),"",IF(INDIRECT("Singles."&amp;ADDRESS(QUOTIENT(MATCH(INDIRECT(ADDRESS(ROW(G97)-MOD(ROW(G97)-63,27),COLUMN(G97),4)),Singles!$A$2:$A$33,0)-1,16)*18+94+$S97,MOD(MATCH(INDIRECT(ADDRESS(ROW(G97)-MOD(ROW(G97)-63,27),COLUMN(G97),4)),Singles!$A$2:$A$33,0)-1,16)+2,4))="","",INDIRECT("Singles."&amp;ADDRESS(QUOTIENT(MATCH(INDIRECT(ADDRESS(ROW(G97)-MOD(ROW(G97)-63,27),COLUMN(G97),4)),Singles!$A$2:$A$33,0)-1,16)*18+94+$S97,MOD(MATCH(INDIRECT(ADDRESS(ROW(G97)-MOD(ROW(G97)-63,27),COLUMN(G97),4)),Singles!$A$2:$A$33,0)-1,16)+2,4)))),"")</f>
        <v/>
      </c>
      <c r="H97" s="78" t="str">
        <f ca="1">IF(Singles!$B$36="Yes",IF(ISERROR(MATCH(INDIRECT(ADDRESS(ROW(H97)-MOD(ROW(H97)-63,27),COLUMN(H97),4)),Singles!$A$2:$A$33,0)),"",IF(INDIRECT("Singles."&amp;ADDRESS(QUOTIENT(MATCH(INDIRECT(ADDRESS(ROW(H97)-MOD(ROW(H97)-63,27),COLUMN(H97),4)),Singles!$A$2:$A$33,0)-1,16)*18+94+$S97,MOD(MATCH(INDIRECT(ADDRESS(ROW(H97)-MOD(ROW(H97)-63,27),COLUMN(H97),4)),Singles!$A$2:$A$33,0)-1,16)+2,4))="","",INDIRECT("Singles."&amp;ADDRESS(QUOTIENT(MATCH(INDIRECT(ADDRESS(ROW(H97)-MOD(ROW(H97)-63,27),COLUMN(H97),4)),Singles!$A$2:$A$33,0)-1,16)*18+94+$S97,MOD(MATCH(INDIRECT(ADDRESS(ROW(H97)-MOD(ROW(H97)-63,27),COLUMN(H97),4)),Singles!$A$2:$A$33,0)-1,16)+2,4)))),"")</f>
        <v/>
      </c>
      <c r="I97" s="78" t="str">
        <f ca="1">IF(Singles!$B$36="Yes",IF(ISERROR(MATCH(INDIRECT(ADDRESS(ROW(I97)-MOD(ROW(I97)-63,27),COLUMN(I97),4)),Singles!$A$2:$A$33,0)),"",IF(INDIRECT("Singles."&amp;ADDRESS(QUOTIENT(MATCH(INDIRECT(ADDRESS(ROW(I97)-MOD(ROW(I97)-63,27),COLUMN(I97),4)),Singles!$A$2:$A$33,0)-1,16)*18+94+$S97,MOD(MATCH(INDIRECT(ADDRESS(ROW(I97)-MOD(ROW(I97)-63,27),COLUMN(I97),4)),Singles!$A$2:$A$33,0)-1,16)+2,4))="","",INDIRECT("Singles."&amp;ADDRESS(QUOTIENT(MATCH(INDIRECT(ADDRESS(ROW(I97)-MOD(ROW(I97)-63,27),COLUMN(I97),4)),Singles!$A$2:$A$33,0)-1,16)*18+94+$S97,MOD(MATCH(INDIRECT(ADDRESS(ROW(I97)-MOD(ROW(I97)-63,27),COLUMN(I97),4)),Singles!$A$2:$A$33,0)-1,16)+2,4)))),"")</f>
        <v/>
      </c>
      <c r="J97" s="78" t="str">
        <f ca="1">IF(Singles!$B$36="Yes",IF(ISERROR(MATCH(INDIRECT(ADDRESS(ROW(J97)-MOD(ROW(J97)-63,27),COLUMN(J97),4)),Singles!$A$2:$A$33,0)),"",IF(INDIRECT("Singles."&amp;ADDRESS(QUOTIENT(MATCH(INDIRECT(ADDRESS(ROW(J97)-MOD(ROW(J97)-63,27),COLUMN(J97),4)),Singles!$A$2:$A$33,0)-1,16)*18+94+$S97,MOD(MATCH(INDIRECT(ADDRESS(ROW(J97)-MOD(ROW(J97)-63,27),COLUMN(J97),4)),Singles!$A$2:$A$33,0)-1,16)+2,4))="","",INDIRECT("Singles."&amp;ADDRESS(QUOTIENT(MATCH(INDIRECT(ADDRESS(ROW(J97)-MOD(ROW(J97)-63,27),COLUMN(J97),4)),Singles!$A$2:$A$33,0)-1,16)*18+94+$S97,MOD(MATCH(INDIRECT(ADDRESS(ROW(J97)-MOD(ROW(J97)-63,27),COLUMN(J97),4)),Singles!$A$2:$A$33,0)-1,16)+2,4)))),"")</f>
        <v/>
      </c>
      <c r="K97" s="78" t="str">
        <f ca="1">IF(Singles!$B$36="Yes",IF(ISERROR(MATCH(INDIRECT(ADDRESS(ROW(K97)-MOD(ROW(K97)-63,27),COLUMN(K97),4)),Singles!$A$2:$A$33,0)),"",IF(INDIRECT("Singles."&amp;ADDRESS(QUOTIENT(MATCH(INDIRECT(ADDRESS(ROW(K97)-MOD(ROW(K97)-63,27),COLUMN(K97),4)),Singles!$A$2:$A$33,0)-1,16)*18+94+$S97,MOD(MATCH(INDIRECT(ADDRESS(ROW(K97)-MOD(ROW(K97)-63,27),COLUMN(K97),4)),Singles!$A$2:$A$33,0)-1,16)+2,4))="","",INDIRECT("Singles."&amp;ADDRESS(QUOTIENT(MATCH(INDIRECT(ADDRESS(ROW(K97)-MOD(ROW(K97)-63,27),COLUMN(K97),4)),Singles!$A$2:$A$33,0)-1,16)*18+94+$S97,MOD(MATCH(INDIRECT(ADDRESS(ROW(K97)-MOD(ROW(K97)-63,27),COLUMN(K97),4)),Singles!$A$2:$A$33,0)-1,16)+2,4)))),"")</f>
        <v/>
      </c>
      <c r="L97" s="78" t="str">
        <f ca="1">IF(Singles!$B$36="Yes",IF(ISERROR(MATCH(INDIRECT(ADDRESS(ROW(L97)-MOD(ROW(L97)-63,27),COLUMN(L97),4)),Singles!$A$2:$A$33,0)),"",IF(INDIRECT("Singles."&amp;ADDRESS(QUOTIENT(MATCH(INDIRECT(ADDRESS(ROW(L97)-MOD(ROW(L97)-63,27),COLUMN(L97),4)),Singles!$A$2:$A$33,0)-1,16)*18+94+$S97,MOD(MATCH(INDIRECT(ADDRESS(ROW(L97)-MOD(ROW(L97)-63,27),COLUMN(L97),4)),Singles!$A$2:$A$33,0)-1,16)+2,4))="","",INDIRECT("Singles."&amp;ADDRESS(QUOTIENT(MATCH(INDIRECT(ADDRESS(ROW(L97)-MOD(ROW(L97)-63,27),COLUMN(L97),4)),Singles!$A$2:$A$33,0)-1,16)*18+94+$S97,MOD(MATCH(INDIRECT(ADDRESS(ROW(L97)-MOD(ROW(L97)-63,27),COLUMN(L97),4)),Singles!$A$2:$A$33,0)-1,16)+2,4)))),"")</f>
        <v/>
      </c>
      <c r="M97" s="78" t="str">
        <f ca="1">IF(Singles!$B$36="Yes",IF(ISERROR(MATCH(INDIRECT(ADDRESS(ROW(M97)-MOD(ROW(M97)-63,27),COLUMN(M97),4)),Singles!$A$2:$A$33,0)),"",IF(INDIRECT("Singles."&amp;ADDRESS(QUOTIENT(MATCH(INDIRECT(ADDRESS(ROW(M97)-MOD(ROW(M97)-63,27),COLUMN(M97),4)),Singles!$A$2:$A$33,0)-1,16)*18+94+$S97,MOD(MATCH(INDIRECT(ADDRESS(ROW(M97)-MOD(ROW(M97)-63,27),COLUMN(M97),4)),Singles!$A$2:$A$33,0)-1,16)+2,4))="","",INDIRECT("Singles."&amp;ADDRESS(QUOTIENT(MATCH(INDIRECT(ADDRESS(ROW(M97)-MOD(ROW(M97)-63,27),COLUMN(M97),4)),Singles!$A$2:$A$33,0)-1,16)*18+94+$S97,MOD(MATCH(INDIRECT(ADDRESS(ROW(M97)-MOD(ROW(M97)-63,27),COLUMN(M97),4)),Singles!$A$2:$A$33,0)-1,16)+2,4)))),"")</f>
        <v/>
      </c>
      <c r="N97" s="78" t="str">
        <f ca="1">IF(Singles!$B$36="Yes",IF(ISERROR(MATCH(INDIRECT(ADDRESS(ROW(N97)-MOD(ROW(N97)-63,27),COLUMN(N97),4)),Singles!$A$2:$A$33,0)),"",IF(INDIRECT("Singles."&amp;ADDRESS(QUOTIENT(MATCH(INDIRECT(ADDRESS(ROW(N97)-MOD(ROW(N97)-63,27),COLUMN(N97),4)),Singles!$A$2:$A$33,0)-1,16)*18+94+$S97,MOD(MATCH(INDIRECT(ADDRESS(ROW(N97)-MOD(ROW(N97)-63,27),COLUMN(N97),4)),Singles!$A$2:$A$33,0)-1,16)+2,4))="","",INDIRECT("Singles."&amp;ADDRESS(QUOTIENT(MATCH(INDIRECT(ADDRESS(ROW(N97)-MOD(ROW(N97)-63,27),COLUMN(N97),4)),Singles!$A$2:$A$33,0)-1,16)*18+94+$S97,MOD(MATCH(INDIRECT(ADDRESS(ROW(N97)-MOD(ROW(N97)-63,27),COLUMN(N97),4)),Singles!$A$2:$A$33,0)-1,16)+2,4)))),"")</f>
        <v/>
      </c>
      <c r="O97" s="78" t="str">
        <f ca="1">IF(Singles!$B$36="Yes",IF(ISERROR(MATCH(INDIRECT(ADDRESS(ROW(O97)-MOD(ROW(O97)-63,27),COLUMN(O97),4)),Singles!$A$2:$A$33,0)),"",IF(INDIRECT("Singles."&amp;ADDRESS(QUOTIENT(MATCH(INDIRECT(ADDRESS(ROW(O97)-MOD(ROW(O97)-63,27),COLUMN(O97),4)),Singles!$A$2:$A$33,0)-1,16)*18+94+$S97,MOD(MATCH(INDIRECT(ADDRESS(ROW(O97)-MOD(ROW(O97)-63,27),COLUMN(O97),4)),Singles!$A$2:$A$33,0)-1,16)+2,4))="","",INDIRECT("Singles."&amp;ADDRESS(QUOTIENT(MATCH(INDIRECT(ADDRESS(ROW(O97)-MOD(ROW(O97)-63,27),COLUMN(O97),4)),Singles!$A$2:$A$33,0)-1,16)*18+94+$S97,MOD(MATCH(INDIRECT(ADDRESS(ROW(O97)-MOD(ROW(O97)-63,27),COLUMN(O97),4)),Singles!$A$2:$A$33,0)-1,16)+2,4)))),"")</f>
        <v/>
      </c>
      <c r="P97" s="78" t="str">
        <f ca="1">IF(Singles!$B$36="Yes",IF(ISERROR(MATCH(INDIRECT(ADDRESS(ROW(P97)-MOD(ROW(P97)-63,27),COLUMN(P97),4)),Singles!$A$2:$A$33,0)),"",IF(INDIRECT("Singles."&amp;ADDRESS(QUOTIENT(MATCH(INDIRECT(ADDRESS(ROW(P97)-MOD(ROW(P97)-63,27),COLUMN(P97),4)),Singles!$A$2:$A$33,0)-1,16)*18+94+$S97,MOD(MATCH(INDIRECT(ADDRESS(ROW(P97)-MOD(ROW(P97)-63,27),COLUMN(P97),4)),Singles!$A$2:$A$33,0)-1,16)+2,4))="","",INDIRECT("Singles."&amp;ADDRESS(QUOTIENT(MATCH(INDIRECT(ADDRESS(ROW(P97)-MOD(ROW(P97)-63,27),COLUMN(P97),4)),Singles!$A$2:$A$33,0)-1,16)*18+94+$S97,MOD(MATCH(INDIRECT(ADDRESS(ROW(P97)-MOD(ROW(P97)-63,27),COLUMN(P97),4)),Singles!$A$2:$A$33,0)-1,16)+2,4)))),"")</f>
        <v/>
      </c>
      <c r="Q97" s="78" t="str">
        <f ca="1">IF(Singles!$B$36="Yes",IF(ISERROR(MATCH(INDIRECT(ADDRESS(ROW(Q97)-MOD(ROW(Q97)-63,27),COLUMN(Q97),4)),Singles!$A$2:$A$33,0)),"",IF(INDIRECT("Singles."&amp;ADDRESS(QUOTIENT(MATCH(INDIRECT(ADDRESS(ROW(Q97)-MOD(ROW(Q97)-63,27),COLUMN(Q97),4)),Singles!$A$2:$A$33,0)-1,16)*18+94+$S97,MOD(MATCH(INDIRECT(ADDRESS(ROW(Q97)-MOD(ROW(Q97)-63,27),COLUMN(Q97),4)),Singles!$A$2:$A$33,0)-1,16)+2,4))="","",INDIRECT("Singles."&amp;ADDRESS(QUOTIENT(MATCH(INDIRECT(ADDRESS(ROW(Q97)-MOD(ROW(Q97)-63,27),COLUMN(Q97),4)),Singles!$A$2:$A$33,0)-1,16)*18+94+$S97,MOD(MATCH(INDIRECT(ADDRESS(ROW(Q97)-MOD(ROW(Q97)-63,27),COLUMN(Q97),4)),Singles!$A$2:$A$33,0)-1,16)+2,4)))),"")</f>
        <v/>
      </c>
      <c r="S97" s="5">
        <v>7</v>
      </c>
    </row>
    <row r="98" spans="1:19">
      <c r="A98" s="5">
        <v>8</v>
      </c>
      <c r="B98" s="78" t="str">
        <f ca="1">IF(Singles!$B$36="Yes",IF(ISERROR(MATCH(INDIRECT(ADDRESS(ROW(B98)-MOD(ROW(B98)-63,27),COLUMN(B98),4)),Singles!$A$2:$A$33,0)),"",IF(INDIRECT("Singles."&amp;ADDRESS(QUOTIENT(MATCH(INDIRECT(ADDRESS(ROW(B98)-MOD(ROW(B98)-63,27),COLUMN(B98),4)),Singles!$A$2:$A$33,0)-1,16)*18+94+$S98,MOD(MATCH(INDIRECT(ADDRESS(ROW(B98)-MOD(ROW(B98)-63,27),COLUMN(B98),4)),Singles!$A$2:$A$33,0)-1,16)+2,4))="","",INDIRECT("Singles."&amp;ADDRESS(QUOTIENT(MATCH(INDIRECT(ADDRESS(ROW(B98)-MOD(ROW(B98)-63,27),COLUMN(B98),4)),Singles!$A$2:$A$33,0)-1,16)*18+94+$S98,MOD(MATCH(INDIRECT(ADDRESS(ROW(B98)-MOD(ROW(B98)-63,27),COLUMN(B98),4)),Singles!$A$2:$A$33,0)-1,16)+2,4)))),"")</f>
        <v/>
      </c>
      <c r="C98" s="78" t="str">
        <f ca="1">IF(Singles!$B$36="Yes",IF(ISERROR(MATCH(INDIRECT(ADDRESS(ROW(C98)-MOD(ROW(C98)-63,27),COLUMN(C98),4)),Singles!$A$2:$A$33,0)),"",IF(INDIRECT("Singles."&amp;ADDRESS(QUOTIENT(MATCH(INDIRECT(ADDRESS(ROW(C98)-MOD(ROW(C98)-63,27),COLUMN(C98),4)),Singles!$A$2:$A$33,0)-1,16)*18+94+$S98,MOD(MATCH(INDIRECT(ADDRESS(ROW(C98)-MOD(ROW(C98)-63,27),COLUMN(C98),4)),Singles!$A$2:$A$33,0)-1,16)+2,4))="","",INDIRECT("Singles."&amp;ADDRESS(QUOTIENT(MATCH(INDIRECT(ADDRESS(ROW(C98)-MOD(ROW(C98)-63,27),COLUMN(C98),4)),Singles!$A$2:$A$33,0)-1,16)*18+94+$S98,MOD(MATCH(INDIRECT(ADDRESS(ROW(C98)-MOD(ROW(C98)-63,27),COLUMN(C98),4)),Singles!$A$2:$A$33,0)-1,16)+2,4)))),"")</f>
        <v/>
      </c>
      <c r="D98" s="78" t="str">
        <f ca="1">IF(Singles!$B$36="Yes",IF(ISERROR(MATCH(INDIRECT(ADDRESS(ROW(D98)-MOD(ROW(D98)-63,27),COLUMN(D98),4)),Singles!$A$2:$A$33,0)),"",IF(INDIRECT("Singles."&amp;ADDRESS(QUOTIENT(MATCH(INDIRECT(ADDRESS(ROW(D98)-MOD(ROW(D98)-63,27),COLUMN(D98),4)),Singles!$A$2:$A$33,0)-1,16)*18+94+$S98,MOD(MATCH(INDIRECT(ADDRESS(ROW(D98)-MOD(ROW(D98)-63,27),COLUMN(D98),4)),Singles!$A$2:$A$33,0)-1,16)+2,4))="","",INDIRECT("Singles."&amp;ADDRESS(QUOTIENT(MATCH(INDIRECT(ADDRESS(ROW(D98)-MOD(ROW(D98)-63,27),COLUMN(D98),4)),Singles!$A$2:$A$33,0)-1,16)*18+94+$S98,MOD(MATCH(INDIRECT(ADDRESS(ROW(D98)-MOD(ROW(D98)-63,27),COLUMN(D98),4)),Singles!$A$2:$A$33,0)-1,16)+2,4)))),"")</f>
        <v/>
      </c>
      <c r="E98" s="78" t="str">
        <f ca="1">IF(Singles!$B$36="Yes",IF(ISERROR(MATCH(INDIRECT(ADDRESS(ROW(E98)-MOD(ROW(E98)-63,27),COLUMN(E98),4)),Singles!$A$2:$A$33,0)),"",IF(INDIRECT("Singles."&amp;ADDRESS(QUOTIENT(MATCH(INDIRECT(ADDRESS(ROW(E98)-MOD(ROW(E98)-63,27),COLUMN(E98),4)),Singles!$A$2:$A$33,0)-1,16)*18+94+$S98,MOD(MATCH(INDIRECT(ADDRESS(ROW(E98)-MOD(ROW(E98)-63,27),COLUMN(E98),4)),Singles!$A$2:$A$33,0)-1,16)+2,4))="","",INDIRECT("Singles."&amp;ADDRESS(QUOTIENT(MATCH(INDIRECT(ADDRESS(ROW(E98)-MOD(ROW(E98)-63,27),COLUMN(E98),4)),Singles!$A$2:$A$33,0)-1,16)*18+94+$S98,MOD(MATCH(INDIRECT(ADDRESS(ROW(E98)-MOD(ROW(E98)-63,27),COLUMN(E98),4)),Singles!$A$2:$A$33,0)-1,16)+2,4)))),"")</f>
        <v/>
      </c>
      <c r="F98" s="78" t="str">
        <f ca="1">IF(Singles!$B$36="Yes",IF(ISERROR(MATCH(INDIRECT(ADDRESS(ROW(F98)-MOD(ROW(F98)-63,27),COLUMN(F98),4)),Singles!$A$2:$A$33,0)),"",IF(INDIRECT("Singles."&amp;ADDRESS(QUOTIENT(MATCH(INDIRECT(ADDRESS(ROW(F98)-MOD(ROW(F98)-63,27),COLUMN(F98),4)),Singles!$A$2:$A$33,0)-1,16)*18+94+$S98,MOD(MATCH(INDIRECT(ADDRESS(ROW(F98)-MOD(ROW(F98)-63,27),COLUMN(F98),4)),Singles!$A$2:$A$33,0)-1,16)+2,4))="","",INDIRECT("Singles."&amp;ADDRESS(QUOTIENT(MATCH(INDIRECT(ADDRESS(ROW(F98)-MOD(ROW(F98)-63,27),COLUMN(F98),4)),Singles!$A$2:$A$33,0)-1,16)*18+94+$S98,MOD(MATCH(INDIRECT(ADDRESS(ROW(F98)-MOD(ROW(F98)-63,27),COLUMN(F98),4)),Singles!$A$2:$A$33,0)-1,16)+2,4)))),"")</f>
        <v/>
      </c>
      <c r="G98" s="78" t="str">
        <f ca="1">IF(Singles!$B$36="Yes",IF(ISERROR(MATCH(INDIRECT(ADDRESS(ROW(G98)-MOD(ROW(G98)-63,27),COLUMN(G98),4)),Singles!$A$2:$A$33,0)),"",IF(INDIRECT("Singles."&amp;ADDRESS(QUOTIENT(MATCH(INDIRECT(ADDRESS(ROW(G98)-MOD(ROW(G98)-63,27),COLUMN(G98),4)),Singles!$A$2:$A$33,0)-1,16)*18+94+$S98,MOD(MATCH(INDIRECT(ADDRESS(ROW(G98)-MOD(ROW(G98)-63,27),COLUMN(G98),4)),Singles!$A$2:$A$33,0)-1,16)+2,4))="","",INDIRECT("Singles."&amp;ADDRESS(QUOTIENT(MATCH(INDIRECT(ADDRESS(ROW(G98)-MOD(ROW(G98)-63,27),COLUMN(G98),4)),Singles!$A$2:$A$33,0)-1,16)*18+94+$S98,MOD(MATCH(INDIRECT(ADDRESS(ROW(G98)-MOD(ROW(G98)-63,27),COLUMN(G98),4)),Singles!$A$2:$A$33,0)-1,16)+2,4)))),"")</f>
        <v/>
      </c>
      <c r="H98" s="78" t="str">
        <f ca="1">IF(Singles!$B$36="Yes",IF(ISERROR(MATCH(INDIRECT(ADDRESS(ROW(H98)-MOD(ROW(H98)-63,27),COLUMN(H98),4)),Singles!$A$2:$A$33,0)),"",IF(INDIRECT("Singles."&amp;ADDRESS(QUOTIENT(MATCH(INDIRECT(ADDRESS(ROW(H98)-MOD(ROW(H98)-63,27),COLUMN(H98),4)),Singles!$A$2:$A$33,0)-1,16)*18+94+$S98,MOD(MATCH(INDIRECT(ADDRESS(ROW(H98)-MOD(ROW(H98)-63,27),COLUMN(H98),4)),Singles!$A$2:$A$33,0)-1,16)+2,4))="","",INDIRECT("Singles."&amp;ADDRESS(QUOTIENT(MATCH(INDIRECT(ADDRESS(ROW(H98)-MOD(ROW(H98)-63,27),COLUMN(H98),4)),Singles!$A$2:$A$33,0)-1,16)*18+94+$S98,MOD(MATCH(INDIRECT(ADDRESS(ROW(H98)-MOD(ROW(H98)-63,27),COLUMN(H98),4)),Singles!$A$2:$A$33,0)-1,16)+2,4)))),"")</f>
        <v/>
      </c>
      <c r="I98" s="78" t="str">
        <f ca="1">IF(Singles!$B$36="Yes",IF(ISERROR(MATCH(INDIRECT(ADDRESS(ROW(I98)-MOD(ROW(I98)-63,27),COLUMN(I98),4)),Singles!$A$2:$A$33,0)),"",IF(INDIRECT("Singles."&amp;ADDRESS(QUOTIENT(MATCH(INDIRECT(ADDRESS(ROW(I98)-MOD(ROW(I98)-63,27),COLUMN(I98),4)),Singles!$A$2:$A$33,0)-1,16)*18+94+$S98,MOD(MATCH(INDIRECT(ADDRESS(ROW(I98)-MOD(ROW(I98)-63,27),COLUMN(I98),4)),Singles!$A$2:$A$33,0)-1,16)+2,4))="","",INDIRECT("Singles."&amp;ADDRESS(QUOTIENT(MATCH(INDIRECT(ADDRESS(ROW(I98)-MOD(ROW(I98)-63,27),COLUMN(I98),4)),Singles!$A$2:$A$33,0)-1,16)*18+94+$S98,MOD(MATCH(INDIRECT(ADDRESS(ROW(I98)-MOD(ROW(I98)-63,27),COLUMN(I98),4)),Singles!$A$2:$A$33,0)-1,16)+2,4)))),"")</f>
        <v/>
      </c>
      <c r="J98" s="78" t="str">
        <f ca="1">IF(Singles!$B$36="Yes",IF(ISERROR(MATCH(INDIRECT(ADDRESS(ROW(J98)-MOD(ROW(J98)-63,27),COLUMN(J98),4)),Singles!$A$2:$A$33,0)),"",IF(INDIRECT("Singles."&amp;ADDRESS(QUOTIENT(MATCH(INDIRECT(ADDRESS(ROW(J98)-MOD(ROW(J98)-63,27),COLUMN(J98),4)),Singles!$A$2:$A$33,0)-1,16)*18+94+$S98,MOD(MATCH(INDIRECT(ADDRESS(ROW(J98)-MOD(ROW(J98)-63,27),COLUMN(J98),4)),Singles!$A$2:$A$33,0)-1,16)+2,4))="","",INDIRECT("Singles."&amp;ADDRESS(QUOTIENT(MATCH(INDIRECT(ADDRESS(ROW(J98)-MOD(ROW(J98)-63,27),COLUMN(J98),4)),Singles!$A$2:$A$33,0)-1,16)*18+94+$S98,MOD(MATCH(INDIRECT(ADDRESS(ROW(J98)-MOD(ROW(J98)-63,27),COLUMN(J98),4)),Singles!$A$2:$A$33,0)-1,16)+2,4)))),"")</f>
        <v/>
      </c>
      <c r="K98" s="78" t="str">
        <f ca="1">IF(Singles!$B$36="Yes",IF(ISERROR(MATCH(INDIRECT(ADDRESS(ROW(K98)-MOD(ROW(K98)-63,27),COLUMN(K98),4)),Singles!$A$2:$A$33,0)),"",IF(INDIRECT("Singles."&amp;ADDRESS(QUOTIENT(MATCH(INDIRECT(ADDRESS(ROW(K98)-MOD(ROW(K98)-63,27),COLUMN(K98),4)),Singles!$A$2:$A$33,0)-1,16)*18+94+$S98,MOD(MATCH(INDIRECT(ADDRESS(ROW(K98)-MOD(ROW(K98)-63,27),COLUMN(K98),4)),Singles!$A$2:$A$33,0)-1,16)+2,4))="","",INDIRECT("Singles."&amp;ADDRESS(QUOTIENT(MATCH(INDIRECT(ADDRESS(ROW(K98)-MOD(ROW(K98)-63,27),COLUMN(K98),4)),Singles!$A$2:$A$33,0)-1,16)*18+94+$S98,MOD(MATCH(INDIRECT(ADDRESS(ROW(K98)-MOD(ROW(K98)-63,27),COLUMN(K98),4)),Singles!$A$2:$A$33,0)-1,16)+2,4)))),"")</f>
        <v/>
      </c>
      <c r="L98" s="78" t="str">
        <f ca="1">IF(Singles!$B$36="Yes",IF(ISERROR(MATCH(INDIRECT(ADDRESS(ROW(L98)-MOD(ROW(L98)-63,27),COLUMN(L98),4)),Singles!$A$2:$A$33,0)),"",IF(INDIRECT("Singles."&amp;ADDRESS(QUOTIENT(MATCH(INDIRECT(ADDRESS(ROW(L98)-MOD(ROW(L98)-63,27),COLUMN(L98),4)),Singles!$A$2:$A$33,0)-1,16)*18+94+$S98,MOD(MATCH(INDIRECT(ADDRESS(ROW(L98)-MOD(ROW(L98)-63,27),COLUMN(L98),4)),Singles!$A$2:$A$33,0)-1,16)+2,4))="","",INDIRECT("Singles."&amp;ADDRESS(QUOTIENT(MATCH(INDIRECT(ADDRESS(ROW(L98)-MOD(ROW(L98)-63,27),COLUMN(L98),4)),Singles!$A$2:$A$33,0)-1,16)*18+94+$S98,MOD(MATCH(INDIRECT(ADDRESS(ROW(L98)-MOD(ROW(L98)-63,27),COLUMN(L98),4)),Singles!$A$2:$A$33,0)-1,16)+2,4)))),"")</f>
        <v/>
      </c>
      <c r="M98" s="78" t="str">
        <f ca="1">IF(Singles!$B$36="Yes",IF(ISERROR(MATCH(INDIRECT(ADDRESS(ROW(M98)-MOD(ROW(M98)-63,27),COLUMN(M98),4)),Singles!$A$2:$A$33,0)),"",IF(INDIRECT("Singles."&amp;ADDRESS(QUOTIENT(MATCH(INDIRECT(ADDRESS(ROW(M98)-MOD(ROW(M98)-63,27),COLUMN(M98),4)),Singles!$A$2:$A$33,0)-1,16)*18+94+$S98,MOD(MATCH(INDIRECT(ADDRESS(ROW(M98)-MOD(ROW(M98)-63,27),COLUMN(M98),4)),Singles!$A$2:$A$33,0)-1,16)+2,4))="","",INDIRECT("Singles."&amp;ADDRESS(QUOTIENT(MATCH(INDIRECT(ADDRESS(ROW(M98)-MOD(ROW(M98)-63,27),COLUMN(M98),4)),Singles!$A$2:$A$33,0)-1,16)*18+94+$S98,MOD(MATCH(INDIRECT(ADDRESS(ROW(M98)-MOD(ROW(M98)-63,27),COLUMN(M98),4)),Singles!$A$2:$A$33,0)-1,16)+2,4)))),"")</f>
        <v/>
      </c>
      <c r="N98" s="78" t="str">
        <f ca="1">IF(Singles!$B$36="Yes",IF(ISERROR(MATCH(INDIRECT(ADDRESS(ROW(N98)-MOD(ROW(N98)-63,27),COLUMN(N98),4)),Singles!$A$2:$A$33,0)),"",IF(INDIRECT("Singles."&amp;ADDRESS(QUOTIENT(MATCH(INDIRECT(ADDRESS(ROW(N98)-MOD(ROW(N98)-63,27),COLUMN(N98),4)),Singles!$A$2:$A$33,0)-1,16)*18+94+$S98,MOD(MATCH(INDIRECT(ADDRESS(ROW(N98)-MOD(ROW(N98)-63,27),COLUMN(N98),4)),Singles!$A$2:$A$33,0)-1,16)+2,4))="","",INDIRECT("Singles."&amp;ADDRESS(QUOTIENT(MATCH(INDIRECT(ADDRESS(ROW(N98)-MOD(ROW(N98)-63,27),COLUMN(N98),4)),Singles!$A$2:$A$33,0)-1,16)*18+94+$S98,MOD(MATCH(INDIRECT(ADDRESS(ROW(N98)-MOD(ROW(N98)-63,27),COLUMN(N98),4)),Singles!$A$2:$A$33,0)-1,16)+2,4)))),"")</f>
        <v/>
      </c>
      <c r="O98" s="78" t="str">
        <f ca="1">IF(Singles!$B$36="Yes",IF(ISERROR(MATCH(INDIRECT(ADDRESS(ROW(O98)-MOD(ROW(O98)-63,27),COLUMN(O98),4)),Singles!$A$2:$A$33,0)),"",IF(INDIRECT("Singles."&amp;ADDRESS(QUOTIENT(MATCH(INDIRECT(ADDRESS(ROW(O98)-MOD(ROW(O98)-63,27),COLUMN(O98),4)),Singles!$A$2:$A$33,0)-1,16)*18+94+$S98,MOD(MATCH(INDIRECT(ADDRESS(ROW(O98)-MOD(ROW(O98)-63,27),COLUMN(O98),4)),Singles!$A$2:$A$33,0)-1,16)+2,4))="","",INDIRECT("Singles."&amp;ADDRESS(QUOTIENT(MATCH(INDIRECT(ADDRESS(ROW(O98)-MOD(ROW(O98)-63,27),COLUMN(O98),4)),Singles!$A$2:$A$33,0)-1,16)*18+94+$S98,MOD(MATCH(INDIRECT(ADDRESS(ROW(O98)-MOD(ROW(O98)-63,27),COLUMN(O98),4)),Singles!$A$2:$A$33,0)-1,16)+2,4)))),"")</f>
        <v/>
      </c>
      <c r="P98" s="78" t="str">
        <f ca="1">IF(Singles!$B$36="Yes",IF(ISERROR(MATCH(INDIRECT(ADDRESS(ROW(P98)-MOD(ROW(P98)-63,27),COLUMN(P98),4)),Singles!$A$2:$A$33,0)),"",IF(INDIRECT("Singles."&amp;ADDRESS(QUOTIENT(MATCH(INDIRECT(ADDRESS(ROW(P98)-MOD(ROW(P98)-63,27),COLUMN(P98),4)),Singles!$A$2:$A$33,0)-1,16)*18+94+$S98,MOD(MATCH(INDIRECT(ADDRESS(ROW(P98)-MOD(ROW(P98)-63,27),COLUMN(P98),4)),Singles!$A$2:$A$33,0)-1,16)+2,4))="","",INDIRECT("Singles."&amp;ADDRESS(QUOTIENT(MATCH(INDIRECT(ADDRESS(ROW(P98)-MOD(ROW(P98)-63,27),COLUMN(P98),4)),Singles!$A$2:$A$33,0)-1,16)*18+94+$S98,MOD(MATCH(INDIRECT(ADDRESS(ROW(P98)-MOD(ROW(P98)-63,27),COLUMN(P98),4)),Singles!$A$2:$A$33,0)-1,16)+2,4)))),"")</f>
        <v/>
      </c>
      <c r="Q98" s="78" t="str">
        <f ca="1">IF(Singles!$B$36="Yes",IF(ISERROR(MATCH(INDIRECT(ADDRESS(ROW(Q98)-MOD(ROW(Q98)-63,27),COLUMN(Q98),4)),Singles!$A$2:$A$33,0)),"",IF(INDIRECT("Singles."&amp;ADDRESS(QUOTIENT(MATCH(INDIRECT(ADDRESS(ROW(Q98)-MOD(ROW(Q98)-63,27),COLUMN(Q98),4)),Singles!$A$2:$A$33,0)-1,16)*18+94+$S98,MOD(MATCH(INDIRECT(ADDRESS(ROW(Q98)-MOD(ROW(Q98)-63,27),COLUMN(Q98),4)),Singles!$A$2:$A$33,0)-1,16)+2,4))="","",INDIRECT("Singles."&amp;ADDRESS(QUOTIENT(MATCH(INDIRECT(ADDRESS(ROW(Q98)-MOD(ROW(Q98)-63,27),COLUMN(Q98),4)),Singles!$A$2:$A$33,0)-1,16)*18+94+$S98,MOD(MATCH(INDIRECT(ADDRESS(ROW(Q98)-MOD(ROW(Q98)-63,27),COLUMN(Q98),4)),Singles!$A$2:$A$33,0)-1,16)+2,4)))),"")</f>
        <v/>
      </c>
      <c r="S98" s="5">
        <v>8</v>
      </c>
    </row>
    <row r="99" spans="1:19">
      <c r="A99" s="5">
        <v>9</v>
      </c>
      <c r="B99" s="78" t="str">
        <f ca="1">IF(Singles!$B$36="Yes",IF(ISERROR(MATCH(INDIRECT(ADDRESS(ROW(B99)-MOD(ROW(B99)-63,27),COLUMN(B99),4)),Singles!$A$2:$A$33,0)),"",IF(INDIRECT("Singles."&amp;ADDRESS(QUOTIENT(MATCH(INDIRECT(ADDRESS(ROW(B99)-MOD(ROW(B99)-63,27),COLUMN(B99),4)),Singles!$A$2:$A$33,0)-1,16)*18+94+$S99,MOD(MATCH(INDIRECT(ADDRESS(ROW(B99)-MOD(ROW(B99)-63,27),COLUMN(B99),4)),Singles!$A$2:$A$33,0)-1,16)+2,4))="","",INDIRECT("Singles."&amp;ADDRESS(QUOTIENT(MATCH(INDIRECT(ADDRESS(ROW(B99)-MOD(ROW(B99)-63,27),COLUMN(B99),4)),Singles!$A$2:$A$33,0)-1,16)*18+94+$S99,MOD(MATCH(INDIRECT(ADDRESS(ROW(B99)-MOD(ROW(B99)-63,27),COLUMN(B99),4)),Singles!$A$2:$A$33,0)-1,16)+2,4)))),"")</f>
        <v/>
      </c>
      <c r="C99" s="78" t="str">
        <f ca="1">IF(Singles!$B$36="Yes",IF(ISERROR(MATCH(INDIRECT(ADDRESS(ROW(C99)-MOD(ROW(C99)-63,27),COLUMN(C99),4)),Singles!$A$2:$A$33,0)),"",IF(INDIRECT("Singles."&amp;ADDRESS(QUOTIENT(MATCH(INDIRECT(ADDRESS(ROW(C99)-MOD(ROW(C99)-63,27),COLUMN(C99),4)),Singles!$A$2:$A$33,0)-1,16)*18+94+$S99,MOD(MATCH(INDIRECT(ADDRESS(ROW(C99)-MOD(ROW(C99)-63,27),COLUMN(C99),4)),Singles!$A$2:$A$33,0)-1,16)+2,4))="","",INDIRECT("Singles."&amp;ADDRESS(QUOTIENT(MATCH(INDIRECT(ADDRESS(ROW(C99)-MOD(ROW(C99)-63,27),COLUMN(C99),4)),Singles!$A$2:$A$33,0)-1,16)*18+94+$S99,MOD(MATCH(INDIRECT(ADDRESS(ROW(C99)-MOD(ROW(C99)-63,27),COLUMN(C99),4)),Singles!$A$2:$A$33,0)-1,16)+2,4)))),"")</f>
        <v/>
      </c>
      <c r="D99" s="78" t="str">
        <f ca="1">IF(Singles!$B$36="Yes",IF(ISERROR(MATCH(INDIRECT(ADDRESS(ROW(D99)-MOD(ROW(D99)-63,27),COLUMN(D99),4)),Singles!$A$2:$A$33,0)),"",IF(INDIRECT("Singles."&amp;ADDRESS(QUOTIENT(MATCH(INDIRECT(ADDRESS(ROW(D99)-MOD(ROW(D99)-63,27),COLUMN(D99),4)),Singles!$A$2:$A$33,0)-1,16)*18+94+$S99,MOD(MATCH(INDIRECT(ADDRESS(ROW(D99)-MOD(ROW(D99)-63,27),COLUMN(D99),4)),Singles!$A$2:$A$33,0)-1,16)+2,4))="","",INDIRECT("Singles."&amp;ADDRESS(QUOTIENT(MATCH(INDIRECT(ADDRESS(ROW(D99)-MOD(ROW(D99)-63,27),COLUMN(D99),4)),Singles!$A$2:$A$33,0)-1,16)*18+94+$S99,MOD(MATCH(INDIRECT(ADDRESS(ROW(D99)-MOD(ROW(D99)-63,27),COLUMN(D99),4)),Singles!$A$2:$A$33,0)-1,16)+2,4)))),"")</f>
        <v/>
      </c>
      <c r="E99" s="78" t="str">
        <f ca="1">IF(Singles!$B$36="Yes",IF(ISERROR(MATCH(INDIRECT(ADDRESS(ROW(E99)-MOD(ROW(E99)-63,27),COLUMN(E99),4)),Singles!$A$2:$A$33,0)),"",IF(INDIRECT("Singles."&amp;ADDRESS(QUOTIENT(MATCH(INDIRECT(ADDRESS(ROW(E99)-MOD(ROW(E99)-63,27),COLUMN(E99),4)),Singles!$A$2:$A$33,0)-1,16)*18+94+$S99,MOD(MATCH(INDIRECT(ADDRESS(ROW(E99)-MOD(ROW(E99)-63,27),COLUMN(E99),4)),Singles!$A$2:$A$33,0)-1,16)+2,4))="","",INDIRECT("Singles."&amp;ADDRESS(QUOTIENT(MATCH(INDIRECT(ADDRESS(ROW(E99)-MOD(ROW(E99)-63,27),COLUMN(E99),4)),Singles!$A$2:$A$33,0)-1,16)*18+94+$S99,MOD(MATCH(INDIRECT(ADDRESS(ROW(E99)-MOD(ROW(E99)-63,27),COLUMN(E99),4)),Singles!$A$2:$A$33,0)-1,16)+2,4)))),"")</f>
        <v/>
      </c>
      <c r="F99" s="78" t="str">
        <f ca="1">IF(Singles!$B$36="Yes",IF(ISERROR(MATCH(INDIRECT(ADDRESS(ROW(F99)-MOD(ROW(F99)-63,27),COLUMN(F99),4)),Singles!$A$2:$A$33,0)),"",IF(INDIRECT("Singles."&amp;ADDRESS(QUOTIENT(MATCH(INDIRECT(ADDRESS(ROW(F99)-MOD(ROW(F99)-63,27),COLUMN(F99),4)),Singles!$A$2:$A$33,0)-1,16)*18+94+$S99,MOD(MATCH(INDIRECT(ADDRESS(ROW(F99)-MOD(ROW(F99)-63,27),COLUMN(F99),4)),Singles!$A$2:$A$33,0)-1,16)+2,4))="","",INDIRECT("Singles."&amp;ADDRESS(QUOTIENT(MATCH(INDIRECT(ADDRESS(ROW(F99)-MOD(ROW(F99)-63,27),COLUMN(F99),4)),Singles!$A$2:$A$33,0)-1,16)*18+94+$S99,MOD(MATCH(INDIRECT(ADDRESS(ROW(F99)-MOD(ROW(F99)-63,27),COLUMN(F99),4)),Singles!$A$2:$A$33,0)-1,16)+2,4)))),"")</f>
        <v/>
      </c>
      <c r="G99" s="78" t="str">
        <f ca="1">IF(Singles!$B$36="Yes",IF(ISERROR(MATCH(INDIRECT(ADDRESS(ROW(G99)-MOD(ROW(G99)-63,27),COLUMN(G99),4)),Singles!$A$2:$A$33,0)),"",IF(INDIRECT("Singles."&amp;ADDRESS(QUOTIENT(MATCH(INDIRECT(ADDRESS(ROW(G99)-MOD(ROW(G99)-63,27),COLUMN(G99),4)),Singles!$A$2:$A$33,0)-1,16)*18+94+$S99,MOD(MATCH(INDIRECT(ADDRESS(ROW(G99)-MOD(ROW(G99)-63,27),COLUMN(G99),4)),Singles!$A$2:$A$33,0)-1,16)+2,4))="","",INDIRECT("Singles."&amp;ADDRESS(QUOTIENT(MATCH(INDIRECT(ADDRESS(ROW(G99)-MOD(ROW(G99)-63,27),COLUMN(G99),4)),Singles!$A$2:$A$33,0)-1,16)*18+94+$S99,MOD(MATCH(INDIRECT(ADDRESS(ROW(G99)-MOD(ROW(G99)-63,27),COLUMN(G99),4)),Singles!$A$2:$A$33,0)-1,16)+2,4)))),"")</f>
        <v/>
      </c>
      <c r="H99" s="78" t="str">
        <f ca="1">IF(Singles!$B$36="Yes",IF(ISERROR(MATCH(INDIRECT(ADDRESS(ROW(H99)-MOD(ROW(H99)-63,27),COLUMN(H99),4)),Singles!$A$2:$A$33,0)),"",IF(INDIRECT("Singles."&amp;ADDRESS(QUOTIENT(MATCH(INDIRECT(ADDRESS(ROW(H99)-MOD(ROW(H99)-63,27),COLUMN(H99),4)),Singles!$A$2:$A$33,0)-1,16)*18+94+$S99,MOD(MATCH(INDIRECT(ADDRESS(ROW(H99)-MOD(ROW(H99)-63,27),COLUMN(H99),4)),Singles!$A$2:$A$33,0)-1,16)+2,4))="","",INDIRECT("Singles."&amp;ADDRESS(QUOTIENT(MATCH(INDIRECT(ADDRESS(ROW(H99)-MOD(ROW(H99)-63,27),COLUMN(H99),4)),Singles!$A$2:$A$33,0)-1,16)*18+94+$S99,MOD(MATCH(INDIRECT(ADDRESS(ROW(H99)-MOD(ROW(H99)-63,27),COLUMN(H99),4)),Singles!$A$2:$A$33,0)-1,16)+2,4)))),"")</f>
        <v/>
      </c>
      <c r="I99" s="78" t="str">
        <f ca="1">IF(Singles!$B$36="Yes",IF(ISERROR(MATCH(INDIRECT(ADDRESS(ROW(I99)-MOD(ROW(I99)-63,27),COLUMN(I99),4)),Singles!$A$2:$A$33,0)),"",IF(INDIRECT("Singles."&amp;ADDRESS(QUOTIENT(MATCH(INDIRECT(ADDRESS(ROW(I99)-MOD(ROW(I99)-63,27),COLUMN(I99),4)),Singles!$A$2:$A$33,0)-1,16)*18+94+$S99,MOD(MATCH(INDIRECT(ADDRESS(ROW(I99)-MOD(ROW(I99)-63,27),COLUMN(I99),4)),Singles!$A$2:$A$33,0)-1,16)+2,4))="","",INDIRECT("Singles."&amp;ADDRESS(QUOTIENT(MATCH(INDIRECT(ADDRESS(ROW(I99)-MOD(ROW(I99)-63,27),COLUMN(I99),4)),Singles!$A$2:$A$33,0)-1,16)*18+94+$S99,MOD(MATCH(INDIRECT(ADDRESS(ROW(I99)-MOD(ROW(I99)-63,27),COLUMN(I99),4)),Singles!$A$2:$A$33,0)-1,16)+2,4)))),"")</f>
        <v/>
      </c>
      <c r="J99" s="78" t="str">
        <f ca="1">IF(Singles!$B$36="Yes",IF(ISERROR(MATCH(INDIRECT(ADDRESS(ROW(J99)-MOD(ROW(J99)-63,27),COLUMN(J99),4)),Singles!$A$2:$A$33,0)),"",IF(INDIRECT("Singles."&amp;ADDRESS(QUOTIENT(MATCH(INDIRECT(ADDRESS(ROW(J99)-MOD(ROW(J99)-63,27),COLUMN(J99),4)),Singles!$A$2:$A$33,0)-1,16)*18+94+$S99,MOD(MATCH(INDIRECT(ADDRESS(ROW(J99)-MOD(ROW(J99)-63,27),COLUMN(J99),4)),Singles!$A$2:$A$33,0)-1,16)+2,4))="","",INDIRECT("Singles."&amp;ADDRESS(QUOTIENT(MATCH(INDIRECT(ADDRESS(ROW(J99)-MOD(ROW(J99)-63,27),COLUMN(J99),4)),Singles!$A$2:$A$33,0)-1,16)*18+94+$S99,MOD(MATCH(INDIRECT(ADDRESS(ROW(J99)-MOD(ROW(J99)-63,27),COLUMN(J99),4)),Singles!$A$2:$A$33,0)-1,16)+2,4)))),"")</f>
        <v/>
      </c>
      <c r="K99" s="78" t="str">
        <f ca="1">IF(Singles!$B$36="Yes",IF(ISERROR(MATCH(INDIRECT(ADDRESS(ROW(K99)-MOD(ROW(K99)-63,27),COLUMN(K99),4)),Singles!$A$2:$A$33,0)),"",IF(INDIRECT("Singles."&amp;ADDRESS(QUOTIENT(MATCH(INDIRECT(ADDRESS(ROW(K99)-MOD(ROW(K99)-63,27),COLUMN(K99),4)),Singles!$A$2:$A$33,0)-1,16)*18+94+$S99,MOD(MATCH(INDIRECT(ADDRESS(ROW(K99)-MOD(ROW(K99)-63,27),COLUMN(K99),4)),Singles!$A$2:$A$33,0)-1,16)+2,4))="","",INDIRECT("Singles."&amp;ADDRESS(QUOTIENT(MATCH(INDIRECT(ADDRESS(ROW(K99)-MOD(ROW(K99)-63,27),COLUMN(K99),4)),Singles!$A$2:$A$33,0)-1,16)*18+94+$S99,MOD(MATCH(INDIRECT(ADDRESS(ROW(K99)-MOD(ROW(K99)-63,27),COLUMN(K99),4)),Singles!$A$2:$A$33,0)-1,16)+2,4)))),"")</f>
        <v/>
      </c>
      <c r="L99" s="78" t="str">
        <f ca="1">IF(Singles!$B$36="Yes",IF(ISERROR(MATCH(INDIRECT(ADDRESS(ROW(L99)-MOD(ROW(L99)-63,27),COLUMN(L99),4)),Singles!$A$2:$A$33,0)),"",IF(INDIRECT("Singles."&amp;ADDRESS(QUOTIENT(MATCH(INDIRECT(ADDRESS(ROW(L99)-MOD(ROW(L99)-63,27),COLUMN(L99),4)),Singles!$A$2:$A$33,0)-1,16)*18+94+$S99,MOD(MATCH(INDIRECT(ADDRESS(ROW(L99)-MOD(ROW(L99)-63,27),COLUMN(L99),4)),Singles!$A$2:$A$33,0)-1,16)+2,4))="","",INDIRECT("Singles."&amp;ADDRESS(QUOTIENT(MATCH(INDIRECT(ADDRESS(ROW(L99)-MOD(ROW(L99)-63,27),COLUMN(L99),4)),Singles!$A$2:$A$33,0)-1,16)*18+94+$S99,MOD(MATCH(INDIRECT(ADDRESS(ROW(L99)-MOD(ROW(L99)-63,27),COLUMN(L99),4)),Singles!$A$2:$A$33,0)-1,16)+2,4)))),"")</f>
        <v/>
      </c>
      <c r="M99" s="78" t="str">
        <f ca="1">IF(Singles!$B$36="Yes",IF(ISERROR(MATCH(INDIRECT(ADDRESS(ROW(M99)-MOD(ROW(M99)-63,27),COLUMN(M99),4)),Singles!$A$2:$A$33,0)),"",IF(INDIRECT("Singles."&amp;ADDRESS(QUOTIENT(MATCH(INDIRECT(ADDRESS(ROW(M99)-MOD(ROW(M99)-63,27),COLUMN(M99),4)),Singles!$A$2:$A$33,0)-1,16)*18+94+$S99,MOD(MATCH(INDIRECT(ADDRESS(ROW(M99)-MOD(ROW(M99)-63,27),COLUMN(M99),4)),Singles!$A$2:$A$33,0)-1,16)+2,4))="","",INDIRECT("Singles."&amp;ADDRESS(QUOTIENT(MATCH(INDIRECT(ADDRESS(ROW(M99)-MOD(ROW(M99)-63,27),COLUMN(M99),4)),Singles!$A$2:$A$33,0)-1,16)*18+94+$S99,MOD(MATCH(INDIRECT(ADDRESS(ROW(M99)-MOD(ROW(M99)-63,27),COLUMN(M99),4)),Singles!$A$2:$A$33,0)-1,16)+2,4)))),"")</f>
        <v/>
      </c>
      <c r="N99" s="78" t="str">
        <f ca="1">IF(Singles!$B$36="Yes",IF(ISERROR(MATCH(INDIRECT(ADDRESS(ROW(N99)-MOD(ROW(N99)-63,27),COLUMN(N99),4)),Singles!$A$2:$A$33,0)),"",IF(INDIRECT("Singles."&amp;ADDRESS(QUOTIENT(MATCH(INDIRECT(ADDRESS(ROW(N99)-MOD(ROW(N99)-63,27),COLUMN(N99),4)),Singles!$A$2:$A$33,0)-1,16)*18+94+$S99,MOD(MATCH(INDIRECT(ADDRESS(ROW(N99)-MOD(ROW(N99)-63,27),COLUMN(N99),4)),Singles!$A$2:$A$33,0)-1,16)+2,4))="","",INDIRECT("Singles."&amp;ADDRESS(QUOTIENT(MATCH(INDIRECT(ADDRESS(ROW(N99)-MOD(ROW(N99)-63,27),COLUMN(N99),4)),Singles!$A$2:$A$33,0)-1,16)*18+94+$S99,MOD(MATCH(INDIRECT(ADDRESS(ROW(N99)-MOD(ROW(N99)-63,27),COLUMN(N99),4)),Singles!$A$2:$A$33,0)-1,16)+2,4)))),"")</f>
        <v/>
      </c>
      <c r="O99" s="78" t="str">
        <f ca="1">IF(Singles!$B$36="Yes",IF(ISERROR(MATCH(INDIRECT(ADDRESS(ROW(O99)-MOD(ROW(O99)-63,27),COLUMN(O99),4)),Singles!$A$2:$A$33,0)),"",IF(INDIRECT("Singles."&amp;ADDRESS(QUOTIENT(MATCH(INDIRECT(ADDRESS(ROW(O99)-MOD(ROW(O99)-63,27),COLUMN(O99),4)),Singles!$A$2:$A$33,0)-1,16)*18+94+$S99,MOD(MATCH(INDIRECT(ADDRESS(ROW(O99)-MOD(ROW(O99)-63,27),COLUMN(O99),4)),Singles!$A$2:$A$33,0)-1,16)+2,4))="","",INDIRECT("Singles."&amp;ADDRESS(QUOTIENT(MATCH(INDIRECT(ADDRESS(ROW(O99)-MOD(ROW(O99)-63,27),COLUMN(O99),4)),Singles!$A$2:$A$33,0)-1,16)*18+94+$S99,MOD(MATCH(INDIRECT(ADDRESS(ROW(O99)-MOD(ROW(O99)-63,27),COLUMN(O99),4)),Singles!$A$2:$A$33,0)-1,16)+2,4)))),"")</f>
        <v/>
      </c>
      <c r="P99" s="78" t="str">
        <f ca="1">IF(Singles!$B$36="Yes",IF(ISERROR(MATCH(INDIRECT(ADDRESS(ROW(P99)-MOD(ROW(P99)-63,27),COLUMN(P99),4)),Singles!$A$2:$A$33,0)),"",IF(INDIRECT("Singles."&amp;ADDRESS(QUOTIENT(MATCH(INDIRECT(ADDRESS(ROW(P99)-MOD(ROW(P99)-63,27),COLUMN(P99),4)),Singles!$A$2:$A$33,0)-1,16)*18+94+$S99,MOD(MATCH(INDIRECT(ADDRESS(ROW(P99)-MOD(ROW(P99)-63,27),COLUMN(P99),4)),Singles!$A$2:$A$33,0)-1,16)+2,4))="","",INDIRECT("Singles."&amp;ADDRESS(QUOTIENT(MATCH(INDIRECT(ADDRESS(ROW(P99)-MOD(ROW(P99)-63,27),COLUMN(P99),4)),Singles!$A$2:$A$33,0)-1,16)*18+94+$S99,MOD(MATCH(INDIRECT(ADDRESS(ROW(P99)-MOD(ROW(P99)-63,27),COLUMN(P99),4)),Singles!$A$2:$A$33,0)-1,16)+2,4)))),"")</f>
        <v/>
      </c>
      <c r="Q99" s="78" t="str">
        <f ca="1">IF(Singles!$B$36="Yes",IF(ISERROR(MATCH(INDIRECT(ADDRESS(ROW(Q99)-MOD(ROW(Q99)-63,27),COLUMN(Q99),4)),Singles!$A$2:$A$33,0)),"",IF(INDIRECT("Singles."&amp;ADDRESS(QUOTIENT(MATCH(INDIRECT(ADDRESS(ROW(Q99)-MOD(ROW(Q99)-63,27),COLUMN(Q99),4)),Singles!$A$2:$A$33,0)-1,16)*18+94+$S99,MOD(MATCH(INDIRECT(ADDRESS(ROW(Q99)-MOD(ROW(Q99)-63,27),COLUMN(Q99),4)),Singles!$A$2:$A$33,0)-1,16)+2,4))="","",INDIRECT("Singles."&amp;ADDRESS(QUOTIENT(MATCH(INDIRECT(ADDRESS(ROW(Q99)-MOD(ROW(Q99)-63,27),COLUMN(Q99),4)),Singles!$A$2:$A$33,0)-1,16)*18+94+$S99,MOD(MATCH(INDIRECT(ADDRESS(ROW(Q99)-MOD(ROW(Q99)-63,27),COLUMN(Q99),4)),Singles!$A$2:$A$33,0)-1,16)+2,4)))),"")</f>
        <v/>
      </c>
      <c r="S99" s="5">
        <v>9</v>
      </c>
    </row>
    <row r="100" spans="1:19">
      <c r="A100" s="5">
        <v>10</v>
      </c>
      <c r="B100" s="78" t="str">
        <f ca="1">IF(Singles!$B$36="Yes",IF(ISERROR(MATCH(INDIRECT(ADDRESS(ROW(B100)-MOD(ROW(B100)-63,27),COLUMN(B100),4)),Singles!$A$2:$A$33,0)),"",IF(INDIRECT("Singles."&amp;ADDRESS(QUOTIENT(MATCH(INDIRECT(ADDRESS(ROW(B100)-MOD(ROW(B100)-63,27),COLUMN(B100),4)),Singles!$A$2:$A$33,0)-1,16)*18+94+$S100,MOD(MATCH(INDIRECT(ADDRESS(ROW(B100)-MOD(ROW(B100)-63,27),COLUMN(B100),4)),Singles!$A$2:$A$33,0)-1,16)+2,4))="","",INDIRECT("Singles."&amp;ADDRESS(QUOTIENT(MATCH(INDIRECT(ADDRESS(ROW(B100)-MOD(ROW(B100)-63,27),COLUMN(B100),4)),Singles!$A$2:$A$33,0)-1,16)*18+94+$S100,MOD(MATCH(INDIRECT(ADDRESS(ROW(B100)-MOD(ROW(B100)-63,27),COLUMN(B100),4)),Singles!$A$2:$A$33,0)-1,16)+2,4)))),"")</f>
        <v/>
      </c>
      <c r="C100" s="78" t="str">
        <f ca="1">IF(Singles!$B$36="Yes",IF(ISERROR(MATCH(INDIRECT(ADDRESS(ROW(C100)-MOD(ROW(C100)-63,27),COLUMN(C100),4)),Singles!$A$2:$A$33,0)),"",IF(INDIRECT("Singles."&amp;ADDRESS(QUOTIENT(MATCH(INDIRECT(ADDRESS(ROW(C100)-MOD(ROW(C100)-63,27),COLUMN(C100),4)),Singles!$A$2:$A$33,0)-1,16)*18+94+$S100,MOD(MATCH(INDIRECT(ADDRESS(ROW(C100)-MOD(ROW(C100)-63,27),COLUMN(C100),4)),Singles!$A$2:$A$33,0)-1,16)+2,4))="","",INDIRECT("Singles."&amp;ADDRESS(QUOTIENT(MATCH(INDIRECT(ADDRESS(ROW(C100)-MOD(ROW(C100)-63,27),COLUMN(C100),4)),Singles!$A$2:$A$33,0)-1,16)*18+94+$S100,MOD(MATCH(INDIRECT(ADDRESS(ROW(C100)-MOD(ROW(C100)-63,27),COLUMN(C100),4)),Singles!$A$2:$A$33,0)-1,16)+2,4)))),"")</f>
        <v/>
      </c>
      <c r="D100" s="78" t="str">
        <f ca="1">IF(Singles!$B$36="Yes",IF(ISERROR(MATCH(INDIRECT(ADDRESS(ROW(D100)-MOD(ROW(D100)-63,27),COLUMN(D100),4)),Singles!$A$2:$A$33,0)),"",IF(INDIRECT("Singles."&amp;ADDRESS(QUOTIENT(MATCH(INDIRECT(ADDRESS(ROW(D100)-MOD(ROW(D100)-63,27),COLUMN(D100),4)),Singles!$A$2:$A$33,0)-1,16)*18+94+$S100,MOD(MATCH(INDIRECT(ADDRESS(ROW(D100)-MOD(ROW(D100)-63,27),COLUMN(D100),4)),Singles!$A$2:$A$33,0)-1,16)+2,4))="","",INDIRECT("Singles."&amp;ADDRESS(QUOTIENT(MATCH(INDIRECT(ADDRESS(ROW(D100)-MOD(ROW(D100)-63,27),COLUMN(D100),4)),Singles!$A$2:$A$33,0)-1,16)*18+94+$S100,MOD(MATCH(INDIRECT(ADDRESS(ROW(D100)-MOD(ROW(D100)-63,27),COLUMN(D100),4)),Singles!$A$2:$A$33,0)-1,16)+2,4)))),"")</f>
        <v/>
      </c>
      <c r="E100" s="78" t="str">
        <f ca="1">IF(Singles!$B$36="Yes",IF(ISERROR(MATCH(INDIRECT(ADDRESS(ROW(E100)-MOD(ROW(E100)-63,27),COLUMN(E100),4)),Singles!$A$2:$A$33,0)),"",IF(INDIRECT("Singles."&amp;ADDRESS(QUOTIENT(MATCH(INDIRECT(ADDRESS(ROW(E100)-MOD(ROW(E100)-63,27),COLUMN(E100),4)),Singles!$A$2:$A$33,0)-1,16)*18+94+$S100,MOD(MATCH(INDIRECT(ADDRESS(ROW(E100)-MOD(ROW(E100)-63,27),COLUMN(E100),4)),Singles!$A$2:$A$33,0)-1,16)+2,4))="","",INDIRECT("Singles."&amp;ADDRESS(QUOTIENT(MATCH(INDIRECT(ADDRESS(ROW(E100)-MOD(ROW(E100)-63,27),COLUMN(E100),4)),Singles!$A$2:$A$33,0)-1,16)*18+94+$S100,MOD(MATCH(INDIRECT(ADDRESS(ROW(E100)-MOD(ROW(E100)-63,27),COLUMN(E100),4)),Singles!$A$2:$A$33,0)-1,16)+2,4)))),"")</f>
        <v/>
      </c>
      <c r="F100" s="78" t="str">
        <f ca="1">IF(Singles!$B$36="Yes",IF(ISERROR(MATCH(INDIRECT(ADDRESS(ROW(F100)-MOD(ROW(F100)-63,27),COLUMN(F100),4)),Singles!$A$2:$A$33,0)),"",IF(INDIRECT("Singles."&amp;ADDRESS(QUOTIENT(MATCH(INDIRECT(ADDRESS(ROW(F100)-MOD(ROW(F100)-63,27),COLUMN(F100),4)),Singles!$A$2:$A$33,0)-1,16)*18+94+$S100,MOD(MATCH(INDIRECT(ADDRESS(ROW(F100)-MOD(ROW(F100)-63,27),COLUMN(F100),4)),Singles!$A$2:$A$33,0)-1,16)+2,4))="","",INDIRECT("Singles."&amp;ADDRESS(QUOTIENT(MATCH(INDIRECT(ADDRESS(ROW(F100)-MOD(ROW(F100)-63,27),COLUMN(F100),4)),Singles!$A$2:$A$33,0)-1,16)*18+94+$S100,MOD(MATCH(INDIRECT(ADDRESS(ROW(F100)-MOD(ROW(F100)-63,27),COLUMN(F100),4)),Singles!$A$2:$A$33,0)-1,16)+2,4)))),"")</f>
        <v/>
      </c>
      <c r="G100" s="78" t="str">
        <f ca="1">IF(Singles!$B$36="Yes",IF(ISERROR(MATCH(INDIRECT(ADDRESS(ROW(G100)-MOD(ROW(G100)-63,27),COLUMN(G100),4)),Singles!$A$2:$A$33,0)),"",IF(INDIRECT("Singles."&amp;ADDRESS(QUOTIENT(MATCH(INDIRECT(ADDRESS(ROW(G100)-MOD(ROW(G100)-63,27),COLUMN(G100),4)),Singles!$A$2:$A$33,0)-1,16)*18+94+$S100,MOD(MATCH(INDIRECT(ADDRESS(ROW(G100)-MOD(ROW(G100)-63,27),COLUMN(G100),4)),Singles!$A$2:$A$33,0)-1,16)+2,4))="","",INDIRECT("Singles."&amp;ADDRESS(QUOTIENT(MATCH(INDIRECT(ADDRESS(ROW(G100)-MOD(ROW(G100)-63,27),COLUMN(G100),4)),Singles!$A$2:$A$33,0)-1,16)*18+94+$S100,MOD(MATCH(INDIRECT(ADDRESS(ROW(G100)-MOD(ROW(G100)-63,27),COLUMN(G100),4)),Singles!$A$2:$A$33,0)-1,16)+2,4)))),"")</f>
        <v/>
      </c>
      <c r="H100" s="78" t="str">
        <f ca="1">IF(Singles!$B$36="Yes",IF(ISERROR(MATCH(INDIRECT(ADDRESS(ROW(H100)-MOD(ROW(H100)-63,27),COLUMN(H100),4)),Singles!$A$2:$A$33,0)),"",IF(INDIRECT("Singles."&amp;ADDRESS(QUOTIENT(MATCH(INDIRECT(ADDRESS(ROW(H100)-MOD(ROW(H100)-63,27),COLUMN(H100),4)),Singles!$A$2:$A$33,0)-1,16)*18+94+$S100,MOD(MATCH(INDIRECT(ADDRESS(ROW(H100)-MOD(ROW(H100)-63,27),COLUMN(H100),4)),Singles!$A$2:$A$33,0)-1,16)+2,4))="","",INDIRECT("Singles."&amp;ADDRESS(QUOTIENT(MATCH(INDIRECT(ADDRESS(ROW(H100)-MOD(ROW(H100)-63,27),COLUMN(H100),4)),Singles!$A$2:$A$33,0)-1,16)*18+94+$S100,MOD(MATCH(INDIRECT(ADDRESS(ROW(H100)-MOD(ROW(H100)-63,27),COLUMN(H100),4)),Singles!$A$2:$A$33,0)-1,16)+2,4)))),"")</f>
        <v/>
      </c>
      <c r="I100" s="78" t="str">
        <f ca="1">IF(Singles!$B$36="Yes",IF(ISERROR(MATCH(INDIRECT(ADDRESS(ROW(I100)-MOD(ROW(I100)-63,27),COLUMN(I100),4)),Singles!$A$2:$A$33,0)),"",IF(INDIRECT("Singles."&amp;ADDRESS(QUOTIENT(MATCH(INDIRECT(ADDRESS(ROW(I100)-MOD(ROW(I100)-63,27),COLUMN(I100),4)),Singles!$A$2:$A$33,0)-1,16)*18+94+$S100,MOD(MATCH(INDIRECT(ADDRESS(ROW(I100)-MOD(ROW(I100)-63,27),COLUMN(I100),4)),Singles!$A$2:$A$33,0)-1,16)+2,4))="","",INDIRECT("Singles."&amp;ADDRESS(QUOTIENT(MATCH(INDIRECT(ADDRESS(ROW(I100)-MOD(ROW(I100)-63,27),COLUMN(I100),4)),Singles!$A$2:$A$33,0)-1,16)*18+94+$S100,MOD(MATCH(INDIRECT(ADDRESS(ROW(I100)-MOD(ROW(I100)-63,27),COLUMN(I100),4)),Singles!$A$2:$A$33,0)-1,16)+2,4)))),"")</f>
        <v/>
      </c>
      <c r="J100" s="78" t="str">
        <f ca="1">IF(Singles!$B$36="Yes",IF(ISERROR(MATCH(INDIRECT(ADDRESS(ROW(J100)-MOD(ROW(J100)-63,27),COLUMN(J100),4)),Singles!$A$2:$A$33,0)),"",IF(INDIRECT("Singles."&amp;ADDRESS(QUOTIENT(MATCH(INDIRECT(ADDRESS(ROW(J100)-MOD(ROW(J100)-63,27),COLUMN(J100),4)),Singles!$A$2:$A$33,0)-1,16)*18+94+$S100,MOD(MATCH(INDIRECT(ADDRESS(ROW(J100)-MOD(ROW(J100)-63,27),COLUMN(J100),4)),Singles!$A$2:$A$33,0)-1,16)+2,4))="","",INDIRECT("Singles."&amp;ADDRESS(QUOTIENT(MATCH(INDIRECT(ADDRESS(ROW(J100)-MOD(ROW(J100)-63,27),COLUMN(J100),4)),Singles!$A$2:$A$33,0)-1,16)*18+94+$S100,MOD(MATCH(INDIRECT(ADDRESS(ROW(J100)-MOD(ROW(J100)-63,27),COLUMN(J100),4)),Singles!$A$2:$A$33,0)-1,16)+2,4)))),"")</f>
        <v/>
      </c>
      <c r="K100" s="78" t="str">
        <f ca="1">IF(Singles!$B$36="Yes",IF(ISERROR(MATCH(INDIRECT(ADDRESS(ROW(K100)-MOD(ROW(K100)-63,27),COLUMN(K100),4)),Singles!$A$2:$A$33,0)),"",IF(INDIRECT("Singles."&amp;ADDRESS(QUOTIENT(MATCH(INDIRECT(ADDRESS(ROW(K100)-MOD(ROW(K100)-63,27),COLUMN(K100),4)),Singles!$A$2:$A$33,0)-1,16)*18+94+$S100,MOD(MATCH(INDIRECT(ADDRESS(ROW(K100)-MOD(ROW(K100)-63,27),COLUMN(K100),4)),Singles!$A$2:$A$33,0)-1,16)+2,4))="","",INDIRECT("Singles."&amp;ADDRESS(QUOTIENT(MATCH(INDIRECT(ADDRESS(ROW(K100)-MOD(ROW(K100)-63,27),COLUMN(K100),4)),Singles!$A$2:$A$33,0)-1,16)*18+94+$S100,MOD(MATCH(INDIRECT(ADDRESS(ROW(K100)-MOD(ROW(K100)-63,27),COLUMN(K100),4)),Singles!$A$2:$A$33,0)-1,16)+2,4)))),"")</f>
        <v/>
      </c>
      <c r="L100" s="78" t="str">
        <f ca="1">IF(Singles!$B$36="Yes",IF(ISERROR(MATCH(INDIRECT(ADDRESS(ROW(L100)-MOD(ROW(L100)-63,27),COLUMN(L100),4)),Singles!$A$2:$A$33,0)),"",IF(INDIRECT("Singles."&amp;ADDRESS(QUOTIENT(MATCH(INDIRECT(ADDRESS(ROW(L100)-MOD(ROW(L100)-63,27),COLUMN(L100),4)),Singles!$A$2:$A$33,0)-1,16)*18+94+$S100,MOD(MATCH(INDIRECT(ADDRESS(ROW(L100)-MOD(ROW(L100)-63,27),COLUMN(L100),4)),Singles!$A$2:$A$33,0)-1,16)+2,4))="","",INDIRECT("Singles."&amp;ADDRESS(QUOTIENT(MATCH(INDIRECT(ADDRESS(ROW(L100)-MOD(ROW(L100)-63,27),COLUMN(L100),4)),Singles!$A$2:$A$33,0)-1,16)*18+94+$S100,MOD(MATCH(INDIRECT(ADDRESS(ROW(L100)-MOD(ROW(L100)-63,27),COLUMN(L100),4)),Singles!$A$2:$A$33,0)-1,16)+2,4)))),"")</f>
        <v/>
      </c>
      <c r="M100" s="78" t="str">
        <f ca="1">IF(Singles!$B$36="Yes",IF(ISERROR(MATCH(INDIRECT(ADDRESS(ROW(M100)-MOD(ROW(M100)-63,27),COLUMN(M100),4)),Singles!$A$2:$A$33,0)),"",IF(INDIRECT("Singles."&amp;ADDRESS(QUOTIENT(MATCH(INDIRECT(ADDRESS(ROW(M100)-MOD(ROW(M100)-63,27),COLUMN(M100),4)),Singles!$A$2:$A$33,0)-1,16)*18+94+$S100,MOD(MATCH(INDIRECT(ADDRESS(ROW(M100)-MOD(ROW(M100)-63,27),COLUMN(M100),4)),Singles!$A$2:$A$33,0)-1,16)+2,4))="","",INDIRECT("Singles."&amp;ADDRESS(QUOTIENT(MATCH(INDIRECT(ADDRESS(ROW(M100)-MOD(ROW(M100)-63,27),COLUMN(M100),4)),Singles!$A$2:$A$33,0)-1,16)*18+94+$S100,MOD(MATCH(INDIRECT(ADDRESS(ROW(M100)-MOD(ROW(M100)-63,27),COLUMN(M100),4)),Singles!$A$2:$A$33,0)-1,16)+2,4)))),"")</f>
        <v/>
      </c>
      <c r="N100" s="78" t="str">
        <f ca="1">IF(Singles!$B$36="Yes",IF(ISERROR(MATCH(INDIRECT(ADDRESS(ROW(N100)-MOD(ROW(N100)-63,27),COLUMN(N100),4)),Singles!$A$2:$A$33,0)),"",IF(INDIRECT("Singles."&amp;ADDRESS(QUOTIENT(MATCH(INDIRECT(ADDRESS(ROW(N100)-MOD(ROW(N100)-63,27),COLUMN(N100),4)),Singles!$A$2:$A$33,0)-1,16)*18+94+$S100,MOD(MATCH(INDIRECT(ADDRESS(ROW(N100)-MOD(ROW(N100)-63,27),COLUMN(N100),4)),Singles!$A$2:$A$33,0)-1,16)+2,4))="","",INDIRECT("Singles."&amp;ADDRESS(QUOTIENT(MATCH(INDIRECT(ADDRESS(ROW(N100)-MOD(ROW(N100)-63,27),COLUMN(N100),4)),Singles!$A$2:$A$33,0)-1,16)*18+94+$S100,MOD(MATCH(INDIRECT(ADDRESS(ROW(N100)-MOD(ROW(N100)-63,27),COLUMN(N100),4)),Singles!$A$2:$A$33,0)-1,16)+2,4)))),"")</f>
        <v/>
      </c>
      <c r="O100" s="78" t="str">
        <f ca="1">IF(Singles!$B$36="Yes",IF(ISERROR(MATCH(INDIRECT(ADDRESS(ROW(O100)-MOD(ROW(O100)-63,27),COLUMN(O100),4)),Singles!$A$2:$A$33,0)),"",IF(INDIRECT("Singles."&amp;ADDRESS(QUOTIENT(MATCH(INDIRECT(ADDRESS(ROW(O100)-MOD(ROW(O100)-63,27),COLUMN(O100),4)),Singles!$A$2:$A$33,0)-1,16)*18+94+$S100,MOD(MATCH(INDIRECT(ADDRESS(ROW(O100)-MOD(ROW(O100)-63,27),COLUMN(O100),4)),Singles!$A$2:$A$33,0)-1,16)+2,4))="","",INDIRECT("Singles."&amp;ADDRESS(QUOTIENT(MATCH(INDIRECT(ADDRESS(ROW(O100)-MOD(ROW(O100)-63,27),COLUMN(O100),4)),Singles!$A$2:$A$33,0)-1,16)*18+94+$S100,MOD(MATCH(INDIRECT(ADDRESS(ROW(O100)-MOD(ROW(O100)-63,27),COLUMN(O100),4)),Singles!$A$2:$A$33,0)-1,16)+2,4)))),"")</f>
        <v/>
      </c>
      <c r="P100" s="78" t="str">
        <f ca="1">IF(Singles!$B$36="Yes",IF(ISERROR(MATCH(INDIRECT(ADDRESS(ROW(P100)-MOD(ROW(P100)-63,27),COLUMN(P100),4)),Singles!$A$2:$A$33,0)),"",IF(INDIRECT("Singles."&amp;ADDRESS(QUOTIENT(MATCH(INDIRECT(ADDRESS(ROW(P100)-MOD(ROW(P100)-63,27),COLUMN(P100),4)),Singles!$A$2:$A$33,0)-1,16)*18+94+$S100,MOD(MATCH(INDIRECT(ADDRESS(ROW(P100)-MOD(ROW(P100)-63,27),COLUMN(P100),4)),Singles!$A$2:$A$33,0)-1,16)+2,4))="","",INDIRECT("Singles."&amp;ADDRESS(QUOTIENT(MATCH(INDIRECT(ADDRESS(ROW(P100)-MOD(ROW(P100)-63,27),COLUMN(P100),4)),Singles!$A$2:$A$33,0)-1,16)*18+94+$S100,MOD(MATCH(INDIRECT(ADDRESS(ROW(P100)-MOD(ROW(P100)-63,27),COLUMN(P100),4)),Singles!$A$2:$A$33,0)-1,16)+2,4)))),"")</f>
        <v/>
      </c>
      <c r="Q100" s="78" t="str">
        <f ca="1">IF(Singles!$B$36="Yes",IF(ISERROR(MATCH(INDIRECT(ADDRESS(ROW(Q100)-MOD(ROW(Q100)-63,27),COLUMN(Q100),4)),Singles!$A$2:$A$33,0)),"",IF(INDIRECT("Singles."&amp;ADDRESS(QUOTIENT(MATCH(INDIRECT(ADDRESS(ROW(Q100)-MOD(ROW(Q100)-63,27),COLUMN(Q100),4)),Singles!$A$2:$A$33,0)-1,16)*18+94+$S100,MOD(MATCH(INDIRECT(ADDRESS(ROW(Q100)-MOD(ROW(Q100)-63,27),COLUMN(Q100),4)),Singles!$A$2:$A$33,0)-1,16)+2,4))="","",INDIRECT("Singles."&amp;ADDRESS(QUOTIENT(MATCH(INDIRECT(ADDRESS(ROW(Q100)-MOD(ROW(Q100)-63,27),COLUMN(Q100),4)),Singles!$A$2:$A$33,0)-1,16)*18+94+$S100,MOD(MATCH(INDIRECT(ADDRESS(ROW(Q100)-MOD(ROW(Q100)-63,27),COLUMN(Q100),4)),Singles!$A$2:$A$33,0)-1,16)+2,4)))),"")</f>
        <v/>
      </c>
      <c r="S100" s="5">
        <v>10</v>
      </c>
    </row>
    <row r="101" spans="1:19">
      <c r="A101" s="5">
        <v>11</v>
      </c>
      <c r="B101" s="78" t="str">
        <f ca="1">IF(Singles!$B$36="Yes",IF(ISERROR(MATCH(INDIRECT(ADDRESS(ROW(B101)-MOD(ROW(B101)-63,27),COLUMN(B101),4)),Singles!$A$2:$A$33,0)),"",IF(INDIRECT("Singles."&amp;ADDRESS(QUOTIENT(MATCH(INDIRECT(ADDRESS(ROW(B101)-MOD(ROW(B101)-63,27),COLUMN(B101),4)),Singles!$A$2:$A$33,0)-1,16)*18+94+$S101,MOD(MATCH(INDIRECT(ADDRESS(ROW(B101)-MOD(ROW(B101)-63,27),COLUMN(B101),4)),Singles!$A$2:$A$33,0)-1,16)+2,4))="","",INDIRECT("Singles."&amp;ADDRESS(QUOTIENT(MATCH(INDIRECT(ADDRESS(ROW(B101)-MOD(ROW(B101)-63,27),COLUMN(B101),4)),Singles!$A$2:$A$33,0)-1,16)*18+94+$S101,MOD(MATCH(INDIRECT(ADDRESS(ROW(B101)-MOD(ROW(B101)-63,27),COLUMN(B101),4)),Singles!$A$2:$A$33,0)-1,16)+2,4)))),"")</f>
        <v/>
      </c>
      <c r="C101" s="78" t="str">
        <f ca="1">IF(Singles!$B$36="Yes",IF(ISERROR(MATCH(INDIRECT(ADDRESS(ROW(C101)-MOD(ROW(C101)-63,27),COLUMN(C101),4)),Singles!$A$2:$A$33,0)),"",IF(INDIRECT("Singles."&amp;ADDRESS(QUOTIENT(MATCH(INDIRECT(ADDRESS(ROW(C101)-MOD(ROW(C101)-63,27),COLUMN(C101),4)),Singles!$A$2:$A$33,0)-1,16)*18+94+$S101,MOD(MATCH(INDIRECT(ADDRESS(ROW(C101)-MOD(ROW(C101)-63,27),COLUMN(C101),4)),Singles!$A$2:$A$33,0)-1,16)+2,4))="","",INDIRECT("Singles."&amp;ADDRESS(QUOTIENT(MATCH(INDIRECT(ADDRESS(ROW(C101)-MOD(ROW(C101)-63,27),COLUMN(C101),4)),Singles!$A$2:$A$33,0)-1,16)*18+94+$S101,MOD(MATCH(INDIRECT(ADDRESS(ROW(C101)-MOD(ROW(C101)-63,27),COLUMN(C101),4)),Singles!$A$2:$A$33,0)-1,16)+2,4)))),"")</f>
        <v/>
      </c>
      <c r="D101" s="78" t="str">
        <f ca="1">IF(Singles!$B$36="Yes",IF(ISERROR(MATCH(INDIRECT(ADDRESS(ROW(D101)-MOD(ROW(D101)-63,27),COLUMN(D101),4)),Singles!$A$2:$A$33,0)),"",IF(INDIRECT("Singles."&amp;ADDRESS(QUOTIENT(MATCH(INDIRECT(ADDRESS(ROW(D101)-MOD(ROW(D101)-63,27),COLUMN(D101),4)),Singles!$A$2:$A$33,0)-1,16)*18+94+$S101,MOD(MATCH(INDIRECT(ADDRESS(ROW(D101)-MOD(ROW(D101)-63,27),COLUMN(D101),4)),Singles!$A$2:$A$33,0)-1,16)+2,4))="","",INDIRECT("Singles."&amp;ADDRESS(QUOTIENT(MATCH(INDIRECT(ADDRESS(ROW(D101)-MOD(ROW(D101)-63,27),COLUMN(D101),4)),Singles!$A$2:$A$33,0)-1,16)*18+94+$S101,MOD(MATCH(INDIRECT(ADDRESS(ROW(D101)-MOD(ROW(D101)-63,27),COLUMN(D101),4)),Singles!$A$2:$A$33,0)-1,16)+2,4)))),"")</f>
        <v/>
      </c>
      <c r="E101" s="78" t="str">
        <f ca="1">IF(Singles!$B$36="Yes",IF(ISERROR(MATCH(INDIRECT(ADDRESS(ROW(E101)-MOD(ROW(E101)-63,27),COLUMN(E101),4)),Singles!$A$2:$A$33,0)),"",IF(INDIRECT("Singles."&amp;ADDRESS(QUOTIENT(MATCH(INDIRECT(ADDRESS(ROW(E101)-MOD(ROW(E101)-63,27),COLUMN(E101),4)),Singles!$A$2:$A$33,0)-1,16)*18+94+$S101,MOD(MATCH(INDIRECT(ADDRESS(ROW(E101)-MOD(ROW(E101)-63,27),COLUMN(E101),4)),Singles!$A$2:$A$33,0)-1,16)+2,4))="","",INDIRECT("Singles."&amp;ADDRESS(QUOTIENT(MATCH(INDIRECT(ADDRESS(ROW(E101)-MOD(ROW(E101)-63,27),COLUMN(E101),4)),Singles!$A$2:$A$33,0)-1,16)*18+94+$S101,MOD(MATCH(INDIRECT(ADDRESS(ROW(E101)-MOD(ROW(E101)-63,27),COLUMN(E101),4)),Singles!$A$2:$A$33,0)-1,16)+2,4)))),"")</f>
        <v/>
      </c>
      <c r="F101" s="78" t="str">
        <f ca="1">IF(Singles!$B$36="Yes",IF(ISERROR(MATCH(INDIRECT(ADDRESS(ROW(F101)-MOD(ROW(F101)-63,27),COLUMN(F101),4)),Singles!$A$2:$A$33,0)),"",IF(INDIRECT("Singles."&amp;ADDRESS(QUOTIENT(MATCH(INDIRECT(ADDRESS(ROW(F101)-MOD(ROW(F101)-63,27),COLUMN(F101),4)),Singles!$A$2:$A$33,0)-1,16)*18+94+$S101,MOD(MATCH(INDIRECT(ADDRESS(ROW(F101)-MOD(ROW(F101)-63,27),COLUMN(F101),4)),Singles!$A$2:$A$33,0)-1,16)+2,4))="","",INDIRECT("Singles."&amp;ADDRESS(QUOTIENT(MATCH(INDIRECT(ADDRESS(ROW(F101)-MOD(ROW(F101)-63,27),COLUMN(F101),4)),Singles!$A$2:$A$33,0)-1,16)*18+94+$S101,MOD(MATCH(INDIRECT(ADDRESS(ROW(F101)-MOD(ROW(F101)-63,27),COLUMN(F101),4)),Singles!$A$2:$A$33,0)-1,16)+2,4)))),"")</f>
        <v/>
      </c>
      <c r="G101" s="78" t="str">
        <f ca="1">IF(Singles!$B$36="Yes",IF(ISERROR(MATCH(INDIRECT(ADDRESS(ROW(G101)-MOD(ROW(G101)-63,27),COLUMN(G101),4)),Singles!$A$2:$A$33,0)),"",IF(INDIRECT("Singles."&amp;ADDRESS(QUOTIENT(MATCH(INDIRECT(ADDRESS(ROW(G101)-MOD(ROW(G101)-63,27),COLUMN(G101),4)),Singles!$A$2:$A$33,0)-1,16)*18+94+$S101,MOD(MATCH(INDIRECT(ADDRESS(ROW(G101)-MOD(ROW(G101)-63,27),COLUMN(G101),4)),Singles!$A$2:$A$33,0)-1,16)+2,4))="","",INDIRECT("Singles."&amp;ADDRESS(QUOTIENT(MATCH(INDIRECT(ADDRESS(ROW(G101)-MOD(ROW(G101)-63,27),COLUMN(G101),4)),Singles!$A$2:$A$33,0)-1,16)*18+94+$S101,MOD(MATCH(INDIRECT(ADDRESS(ROW(G101)-MOD(ROW(G101)-63,27),COLUMN(G101),4)),Singles!$A$2:$A$33,0)-1,16)+2,4)))),"")</f>
        <v/>
      </c>
      <c r="H101" s="78" t="str">
        <f ca="1">IF(Singles!$B$36="Yes",IF(ISERROR(MATCH(INDIRECT(ADDRESS(ROW(H101)-MOD(ROW(H101)-63,27),COLUMN(H101),4)),Singles!$A$2:$A$33,0)),"",IF(INDIRECT("Singles."&amp;ADDRESS(QUOTIENT(MATCH(INDIRECT(ADDRESS(ROW(H101)-MOD(ROW(H101)-63,27),COLUMN(H101),4)),Singles!$A$2:$A$33,0)-1,16)*18+94+$S101,MOD(MATCH(INDIRECT(ADDRESS(ROW(H101)-MOD(ROW(H101)-63,27),COLUMN(H101),4)),Singles!$A$2:$A$33,0)-1,16)+2,4))="","",INDIRECT("Singles."&amp;ADDRESS(QUOTIENT(MATCH(INDIRECT(ADDRESS(ROW(H101)-MOD(ROW(H101)-63,27),COLUMN(H101),4)),Singles!$A$2:$A$33,0)-1,16)*18+94+$S101,MOD(MATCH(INDIRECT(ADDRESS(ROW(H101)-MOD(ROW(H101)-63,27),COLUMN(H101),4)),Singles!$A$2:$A$33,0)-1,16)+2,4)))),"")</f>
        <v/>
      </c>
      <c r="I101" s="78" t="str">
        <f ca="1">IF(Singles!$B$36="Yes",IF(ISERROR(MATCH(INDIRECT(ADDRESS(ROW(I101)-MOD(ROW(I101)-63,27),COLUMN(I101),4)),Singles!$A$2:$A$33,0)),"",IF(INDIRECT("Singles."&amp;ADDRESS(QUOTIENT(MATCH(INDIRECT(ADDRESS(ROW(I101)-MOD(ROW(I101)-63,27),COLUMN(I101),4)),Singles!$A$2:$A$33,0)-1,16)*18+94+$S101,MOD(MATCH(INDIRECT(ADDRESS(ROW(I101)-MOD(ROW(I101)-63,27),COLUMN(I101),4)),Singles!$A$2:$A$33,0)-1,16)+2,4))="","",INDIRECT("Singles."&amp;ADDRESS(QUOTIENT(MATCH(INDIRECT(ADDRESS(ROW(I101)-MOD(ROW(I101)-63,27),COLUMN(I101),4)),Singles!$A$2:$A$33,0)-1,16)*18+94+$S101,MOD(MATCH(INDIRECT(ADDRESS(ROW(I101)-MOD(ROW(I101)-63,27),COLUMN(I101),4)),Singles!$A$2:$A$33,0)-1,16)+2,4)))),"")</f>
        <v/>
      </c>
      <c r="J101" s="78" t="str">
        <f ca="1">IF(Singles!$B$36="Yes",IF(ISERROR(MATCH(INDIRECT(ADDRESS(ROW(J101)-MOD(ROW(J101)-63,27),COLUMN(J101),4)),Singles!$A$2:$A$33,0)),"",IF(INDIRECT("Singles."&amp;ADDRESS(QUOTIENT(MATCH(INDIRECT(ADDRESS(ROW(J101)-MOD(ROW(J101)-63,27),COLUMN(J101),4)),Singles!$A$2:$A$33,0)-1,16)*18+94+$S101,MOD(MATCH(INDIRECT(ADDRESS(ROW(J101)-MOD(ROW(J101)-63,27),COLUMN(J101),4)),Singles!$A$2:$A$33,0)-1,16)+2,4))="","",INDIRECT("Singles."&amp;ADDRESS(QUOTIENT(MATCH(INDIRECT(ADDRESS(ROW(J101)-MOD(ROW(J101)-63,27),COLUMN(J101),4)),Singles!$A$2:$A$33,0)-1,16)*18+94+$S101,MOD(MATCH(INDIRECT(ADDRESS(ROW(J101)-MOD(ROW(J101)-63,27),COLUMN(J101),4)),Singles!$A$2:$A$33,0)-1,16)+2,4)))),"")</f>
        <v/>
      </c>
      <c r="K101" s="78" t="str">
        <f ca="1">IF(Singles!$B$36="Yes",IF(ISERROR(MATCH(INDIRECT(ADDRESS(ROW(K101)-MOD(ROW(K101)-63,27),COLUMN(K101),4)),Singles!$A$2:$A$33,0)),"",IF(INDIRECT("Singles."&amp;ADDRESS(QUOTIENT(MATCH(INDIRECT(ADDRESS(ROW(K101)-MOD(ROW(K101)-63,27),COLUMN(K101),4)),Singles!$A$2:$A$33,0)-1,16)*18+94+$S101,MOD(MATCH(INDIRECT(ADDRESS(ROW(K101)-MOD(ROW(K101)-63,27),COLUMN(K101),4)),Singles!$A$2:$A$33,0)-1,16)+2,4))="","",INDIRECT("Singles."&amp;ADDRESS(QUOTIENT(MATCH(INDIRECT(ADDRESS(ROW(K101)-MOD(ROW(K101)-63,27),COLUMN(K101),4)),Singles!$A$2:$A$33,0)-1,16)*18+94+$S101,MOD(MATCH(INDIRECT(ADDRESS(ROW(K101)-MOD(ROW(K101)-63,27),COLUMN(K101),4)),Singles!$A$2:$A$33,0)-1,16)+2,4)))),"")</f>
        <v/>
      </c>
      <c r="L101" s="78" t="str">
        <f ca="1">IF(Singles!$B$36="Yes",IF(ISERROR(MATCH(INDIRECT(ADDRESS(ROW(L101)-MOD(ROW(L101)-63,27),COLUMN(L101),4)),Singles!$A$2:$A$33,0)),"",IF(INDIRECT("Singles."&amp;ADDRESS(QUOTIENT(MATCH(INDIRECT(ADDRESS(ROW(L101)-MOD(ROW(L101)-63,27),COLUMN(L101),4)),Singles!$A$2:$A$33,0)-1,16)*18+94+$S101,MOD(MATCH(INDIRECT(ADDRESS(ROW(L101)-MOD(ROW(L101)-63,27),COLUMN(L101),4)),Singles!$A$2:$A$33,0)-1,16)+2,4))="","",INDIRECT("Singles."&amp;ADDRESS(QUOTIENT(MATCH(INDIRECT(ADDRESS(ROW(L101)-MOD(ROW(L101)-63,27),COLUMN(L101),4)),Singles!$A$2:$A$33,0)-1,16)*18+94+$S101,MOD(MATCH(INDIRECT(ADDRESS(ROW(L101)-MOD(ROW(L101)-63,27),COLUMN(L101),4)),Singles!$A$2:$A$33,0)-1,16)+2,4)))),"")</f>
        <v/>
      </c>
      <c r="M101" s="78" t="str">
        <f ca="1">IF(Singles!$B$36="Yes",IF(ISERROR(MATCH(INDIRECT(ADDRESS(ROW(M101)-MOD(ROW(M101)-63,27),COLUMN(M101),4)),Singles!$A$2:$A$33,0)),"",IF(INDIRECT("Singles."&amp;ADDRESS(QUOTIENT(MATCH(INDIRECT(ADDRESS(ROW(M101)-MOD(ROW(M101)-63,27),COLUMN(M101),4)),Singles!$A$2:$A$33,0)-1,16)*18+94+$S101,MOD(MATCH(INDIRECT(ADDRESS(ROW(M101)-MOD(ROW(M101)-63,27),COLUMN(M101),4)),Singles!$A$2:$A$33,0)-1,16)+2,4))="","",INDIRECT("Singles."&amp;ADDRESS(QUOTIENT(MATCH(INDIRECT(ADDRESS(ROW(M101)-MOD(ROW(M101)-63,27),COLUMN(M101),4)),Singles!$A$2:$A$33,0)-1,16)*18+94+$S101,MOD(MATCH(INDIRECT(ADDRESS(ROW(M101)-MOD(ROW(M101)-63,27),COLUMN(M101),4)),Singles!$A$2:$A$33,0)-1,16)+2,4)))),"")</f>
        <v/>
      </c>
      <c r="N101" s="78" t="str">
        <f ca="1">IF(Singles!$B$36="Yes",IF(ISERROR(MATCH(INDIRECT(ADDRESS(ROW(N101)-MOD(ROW(N101)-63,27),COLUMN(N101),4)),Singles!$A$2:$A$33,0)),"",IF(INDIRECT("Singles."&amp;ADDRESS(QUOTIENT(MATCH(INDIRECT(ADDRESS(ROW(N101)-MOD(ROW(N101)-63,27),COLUMN(N101),4)),Singles!$A$2:$A$33,0)-1,16)*18+94+$S101,MOD(MATCH(INDIRECT(ADDRESS(ROW(N101)-MOD(ROW(N101)-63,27),COLUMN(N101),4)),Singles!$A$2:$A$33,0)-1,16)+2,4))="","",INDIRECT("Singles."&amp;ADDRESS(QUOTIENT(MATCH(INDIRECT(ADDRESS(ROW(N101)-MOD(ROW(N101)-63,27),COLUMN(N101),4)),Singles!$A$2:$A$33,0)-1,16)*18+94+$S101,MOD(MATCH(INDIRECT(ADDRESS(ROW(N101)-MOD(ROW(N101)-63,27),COLUMN(N101),4)),Singles!$A$2:$A$33,0)-1,16)+2,4)))),"")</f>
        <v/>
      </c>
      <c r="O101" s="78" t="str">
        <f ca="1">IF(Singles!$B$36="Yes",IF(ISERROR(MATCH(INDIRECT(ADDRESS(ROW(O101)-MOD(ROW(O101)-63,27),COLUMN(O101),4)),Singles!$A$2:$A$33,0)),"",IF(INDIRECT("Singles."&amp;ADDRESS(QUOTIENT(MATCH(INDIRECT(ADDRESS(ROW(O101)-MOD(ROW(O101)-63,27),COLUMN(O101),4)),Singles!$A$2:$A$33,0)-1,16)*18+94+$S101,MOD(MATCH(INDIRECT(ADDRESS(ROW(O101)-MOD(ROW(O101)-63,27),COLUMN(O101),4)),Singles!$A$2:$A$33,0)-1,16)+2,4))="","",INDIRECT("Singles."&amp;ADDRESS(QUOTIENT(MATCH(INDIRECT(ADDRESS(ROW(O101)-MOD(ROW(O101)-63,27),COLUMN(O101),4)),Singles!$A$2:$A$33,0)-1,16)*18+94+$S101,MOD(MATCH(INDIRECT(ADDRESS(ROW(O101)-MOD(ROW(O101)-63,27),COLUMN(O101),4)),Singles!$A$2:$A$33,0)-1,16)+2,4)))),"")</f>
        <v/>
      </c>
      <c r="P101" s="78" t="str">
        <f ca="1">IF(Singles!$B$36="Yes",IF(ISERROR(MATCH(INDIRECT(ADDRESS(ROW(P101)-MOD(ROW(P101)-63,27),COLUMN(P101),4)),Singles!$A$2:$A$33,0)),"",IF(INDIRECT("Singles."&amp;ADDRESS(QUOTIENT(MATCH(INDIRECT(ADDRESS(ROW(P101)-MOD(ROW(P101)-63,27),COLUMN(P101),4)),Singles!$A$2:$A$33,0)-1,16)*18+94+$S101,MOD(MATCH(INDIRECT(ADDRESS(ROW(P101)-MOD(ROW(P101)-63,27),COLUMN(P101),4)),Singles!$A$2:$A$33,0)-1,16)+2,4))="","",INDIRECT("Singles."&amp;ADDRESS(QUOTIENT(MATCH(INDIRECT(ADDRESS(ROW(P101)-MOD(ROW(P101)-63,27),COLUMN(P101),4)),Singles!$A$2:$A$33,0)-1,16)*18+94+$S101,MOD(MATCH(INDIRECT(ADDRESS(ROW(P101)-MOD(ROW(P101)-63,27),COLUMN(P101),4)),Singles!$A$2:$A$33,0)-1,16)+2,4)))),"")</f>
        <v/>
      </c>
      <c r="Q101" s="78" t="str">
        <f ca="1">IF(Singles!$B$36="Yes",IF(ISERROR(MATCH(INDIRECT(ADDRESS(ROW(Q101)-MOD(ROW(Q101)-63,27),COLUMN(Q101),4)),Singles!$A$2:$A$33,0)),"",IF(INDIRECT("Singles."&amp;ADDRESS(QUOTIENT(MATCH(INDIRECT(ADDRESS(ROW(Q101)-MOD(ROW(Q101)-63,27),COLUMN(Q101),4)),Singles!$A$2:$A$33,0)-1,16)*18+94+$S101,MOD(MATCH(INDIRECT(ADDRESS(ROW(Q101)-MOD(ROW(Q101)-63,27),COLUMN(Q101),4)),Singles!$A$2:$A$33,0)-1,16)+2,4))="","",INDIRECT("Singles."&amp;ADDRESS(QUOTIENT(MATCH(INDIRECT(ADDRESS(ROW(Q101)-MOD(ROW(Q101)-63,27),COLUMN(Q101),4)),Singles!$A$2:$A$33,0)-1,16)*18+94+$S101,MOD(MATCH(INDIRECT(ADDRESS(ROW(Q101)-MOD(ROW(Q101)-63,27),COLUMN(Q101),4)),Singles!$A$2:$A$33,0)-1,16)+2,4)))),"")</f>
        <v/>
      </c>
      <c r="S101" s="5">
        <v>11</v>
      </c>
    </row>
    <row r="102" spans="1:19">
      <c r="A102" s="5">
        <v>12</v>
      </c>
      <c r="B102" s="78" t="str">
        <f ca="1">IF(Singles!$B$36="Yes",IF(ISERROR(MATCH(INDIRECT(ADDRESS(ROW(B102)-MOD(ROW(B102)-63,27),COLUMN(B102),4)),Singles!$A$2:$A$33,0)),"",IF(INDIRECT("Singles."&amp;ADDRESS(QUOTIENT(MATCH(INDIRECT(ADDRESS(ROW(B102)-MOD(ROW(B102)-63,27),COLUMN(B102),4)),Singles!$A$2:$A$33,0)-1,16)*18+94+$S102,MOD(MATCH(INDIRECT(ADDRESS(ROW(B102)-MOD(ROW(B102)-63,27),COLUMN(B102),4)),Singles!$A$2:$A$33,0)-1,16)+2,4))="","",INDIRECT("Singles."&amp;ADDRESS(QUOTIENT(MATCH(INDIRECT(ADDRESS(ROW(B102)-MOD(ROW(B102)-63,27),COLUMN(B102),4)),Singles!$A$2:$A$33,0)-1,16)*18+94+$S102,MOD(MATCH(INDIRECT(ADDRESS(ROW(B102)-MOD(ROW(B102)-63,27),COLUMN(B102),4)),Singles!$A$2:$A$33,0)-1,16)+2,4)))),"")</f>
        <v/>
      </c>
      <c r="C102" s="78" t="str">
        <f ca="1">IF(Singles!$B$36="Yes",IF(ISERROR(MATCH(INDIRECT(ADDRESS(ROW(C102)-MOD(ROW(C102)-63,27),COLUMN(C102),4)),Singles!$A$2:$A$33,0)),"",IF(INDIRECT("Singles."&amp;ADDRESS(QUOTIENT(MATCH(INDIRECT(ADDRESS(ROW(C102)-MOD(ROW(C102)-63,27),COLUMN(C102),4)),Singles!$A$2:$A$33,0)-1,16)*18+94+$S102,MOD(MATCH(INDIRECT(ADDRESS(ROW(C102)-MOD(ROW(C102)-63,27),COLUMN(C102),4)),Singles!$A$2:$A$33,0)-1,16)+2,4))="","",INDIRECT("Singles."&amp;ADDRESS(QUOTIENT(MATCH(INDIRECT(ADDRESS(ROW(C102)-MOD(ROW(C102)-63,27),COLUMN(C102),4)),Singles!$A$2:$A$33,0)-1,16)*18+94+$S102,MOD(MATCH(INDIRECT(ADDRESS(ROW(C102)-MOD(ROW(C102)-63,27),COLUMN(C102),4)),Singles!$A$2:$A$33,0)-1,16)+2,4)))),"")</f>
        <v/>
      </c>
      <c r="D102" s="78" t="str">
        <f ca="1">IF(Singles!$B$36="Yes",IF(ISERROR(MATCH(INDIRECT(ADDRESS(ROW(D102)-MOD(ROW(D102)-63,27),COLUMN(D102),4)),Singles!$A$2:$A$33,0)),"",IF(INDIRECT("Singles."&amp;ADDRESS(QUOTIENT(MATCH(INDIRECT(ADDRESS(ROW(D102)-MOD(ROW(D102)-63,27),COLUMN(D102),4)),Singles!$A$2:$A$33,0)-1,16)*18+94+$S102,MOD(MATCH(INDIRECT(ADDRESS(ROW(D102)-MOD(ROW(D102)-63,27),COLUMN(D102),4)),Singles!$A$2:$A$33,0)-1,16)+2,4))="","",INDIRECT("Singles."&amp;ADDRESS(QUOTIENT(MATCH(INDIRECT(ADDRESS(ROW(D102)-MOD(ROW(D102)-63,27),COLUMN(D102),4)),Singles!$A$2:$A$33,0)-1,16)*18+94+$S102,MOD(MATCH(INDIRECT(ADDRESS(ROW(D102)-MOD(ROW(D102)-63,27),COLUMN(D102),4)),Singles!$A$2:$A$33,0)-1,16)+2,4)))),"")</f>
        <v/>
      </c>
      <c r="E102" s="78" t="str">
        <f ca="1">IF(Singles!$B$36="Yes",IF(ISERROR(MATCH(INDIRECT(ADDRESS(ROW(E102)-MOD(ROW(E102)-63,27),COLUMN(E102),4)),Singles!$A$2:$A$33,0)),"",IF(INDIRECT("Singles."&amp;ADDRESS(QUOTIENT(MATCH(INDIRECT(ADDRESS(ROW(E102)-MOD(ROW(E102)-63,27),COLUMN(E102),4)),Singles!$A$2:$A$33,0)-1,16)*18+94+$S102,MOD(MATCH(INDIRECT(ADDRESS(ROW(E102)-MOD(ROW(E102)-63,27),COLUMN(E102),4)),Singles!$A$2:$A$33,0)-1,16)+2,4))="","",INDIRECT("Singles."&amp;ADDRESS(QUOTIENT(MATCH(INDIRECT(ADDRESS(ROW(E102)-MOD(ROW(E102)-63,27),COLUMN(E102),4)),Singles!$A$2:$A$33,0)-1,16)*18+94+$S102,MOD(MATCH(INDIRECT(ADDRESS(ROW(E102)-MOD(ROW(E102)-63,27),COLUMN(E102),4)),Singles!$A$2:$A$33,0)-1,16)+2,4)))),"")</f>
        <v/>
      </c>
      <c r="F102" s="78" t="str">
        <f ca="1">IF(Singles!$B$36="Yes",IF(ISERROR(MATCH(INDIRECT(ADDRESS(ROW(F102)-MOD(ROW(F102)-63,27),COLUMN(F102),4)),Singles!$A$2:$A$33,0)),"",IF(INDIRECT("Singles."&amp;ADDRESS(QUOTIENT(MATCH(INDIRECT(ADDRESS(ROW(F102)-MOD(ROW(F102)-63,27),COLUMN(F102),4)),Singles!$A$2:$A$33,0)-1,16)*18+94+$S102,MOD(MATCH(INDIRECT(ADDRESS(ROW(F102)-MOD(ROW(F102)-63,27),COLUMN(F102),4)),Singles!$A$2:$A$33,0)-1,16)+2,4))="","",INDIRECT("Singles."&amp;ADDRESS(QUOTIENT(MATCH(INDIRECT(ADDRESS(ROW(F102)-MOD(ROW(F102)-63,27),COLUMN(F102),4)),Singles!$A$2:$A$33,0)-1,16)*18+94+$S102,MOD(MATCH(INDIRECT(ADDRESS(ROW(F102)-MOD(ROW(F102)-63,27),COLUMN(F102),4)),Singles!$A$2:$A$33,0)-1,16)+2,4)))),"")</f>
        <v/>
      </c>
      <c r="G102" s="78" t="str">
        <f ca="1">IF(Singles!$B$36="Yes",IF(ISERROR(MATCH(INDIRECT(ADDRESS(ROW(G102)-MOD(ROW(G102)-63,27),COLUMN(G102),4)),Singles!$A$2:$A$33,0)),"",IF(INDIRECT("Singles."&amp;ADDRESS(QUOTIENT(MATCH(INDIRECT(ADDRESS(ROW(G102)-MOD(ROW(G102)-63,27),COLUMN(G102),4)),Singles!$A$2:$A$33,0)-1,16)*18+94+$S102,MOD(MATCH(INDIRECT(ADDRESS(ROW(G102)-MOD(ROW(G102)-63,27),COLUMN(G102),4)),Singles!$A$2:$A$33,0)-1,16)+2,4))="","",INDIRECT("Singles."&amp;ADDRESS(QUOTIENT(MATCH(INDIRECT(ADDRESS(ROW(G102)-MOD(ROW(G102)-63,27),COLUMN(G102),4)),Singles!$A$2:$A$33,0)-1,16)*18+94+$S102,MOD(MATCH(INDIRECT(ADDRESS(ROW(G102)-MOD(ROW(G102)-63,27),COLUMN(G102),4)),Singles!$A$2:$A$33,0)-1,16)+2,4)))),"")</f>
        <v/>
      </c>
      <c r="H102" s="78" t="str">
        <f ca="1">IF(Singles!$B$36="Yes",IF(ISERROR(MATCH(INDIRECT(ADDRESS(ROW(H102)-MOD(ROW(H102)-63,27),COLUMN(H102),4)),Singles!$A$2:$A$33,0)),"",IF(INDIRECT("Singles."&amp;ADDRESS(QUOTIENT(MATCH(INDIRECT(ADDRESS(ROW(H102)-MOD(ROW(H102)-63,27),COLUMN(H102),4)),Singles!$A$2:$A$33,0)-1,16)*18+94+$S102,MOD(MATCH(INDIRECT(ADDRESS(ROW(H102)-MOD(ROW(H102)-63,27),COLUMN(H102),4)),Singles!$A$2:$A$33,0)-1,16)+2,4))="","",INDIRECT("Singles."&amp;ADDRESS(QUOTIENT(MATCH(INDIRECT(ADDRESS(ROW(H102)-MOD(ROW(H102)-63,27),COLUMN(H102),4)),Singles!$A$2:$A$33,0)-1,16)*18+94+$S102,MOD(MATCH(INDIRECT(ADDRESS(ROW(H102)-MOD(ROW(H102)-63,27),COLUMN(H102),4)),Singles!$A$2:$A$33,0)-1,16)+2,4)))),"")</f>
        <v/>
      </c>
      <c r="I102" s="78" t="str">
        <f ca="1">IF(Singles!$B$36="Yes",IF(ISERROR(MATCH(INDIRECT(ADDRESS(ROW(I102)-MOD(ROW(I102)-63,27),COLUMN(I102),4)),Singles!$A$2:$A$33,0)),"",IF(INDIRECT("Singles."&amp;ADDRESS(QUOTIENT(MATCH(INDIRECT(ADDRESS(ROW(I102)-MOD(ROW(I102)-63,27),COLUMN(I102),4)),Singles!$A$2:$A$33,0)-1,16)*18+94+$S102,MOD(MATCH(INDIRECT(ADDRESS(ROW(I102)-MOD(ROW(I102)-63,27),COLUMN(I102),4)),Singles!$A$2:$A$33,0)-1,16)+2,4))="","",INDIRECT("Singles."&amp;ADDRESS(QUOTIENT(MATCH(INDIRECT(ADDRESS(ROW(I102)-MOD(ROW(I102)-63,27),COLUMN(I102),4)),Singles!$A$2:$A$33,0)-1,16)*18+94+$S102,MOD(MATCH(INDIRECT(ADDRESS(ROW(I102)-MOD(ROW(I102)-63,27),COLUMN(I102),4)),Singles!$A$2:$A$33,0)-1,16)+2,4)))),"")</f>
        <v/>
      </c>
      <c r="J102" s="78" t="str">
        <f ca="1">IF(Singles!$B$36="Yes",IF(ISERROR(MATCH(INDIRECT(ADDRESS(ROW(J102)-MOD(ROW(J102)-63,27),COLUMN(J102),4)),Singles!$A$2:$A$33,0)),"",IF(INDIRECT("Singles."&amp;ADDRESS(QUOTIENT(MATCH(INDIRECT(ADDRESS(ROW(J102)-MOD(ROW(J102)-63,27),COLUMN(J102),4)),Singles!$A$2:$A$33,0)-1,16)*18+94+$S102,MOD(MATCH(INDIRECT(ADDRESS(ROW(J102)-MOD(ROW(J102)-63,27),COLUMN(J102),4)),Singles!$A$2:$A$33,0)-1,16)+2,4))="","",INDIRECT("Singles."&amp;ADDRESS(QUOTIENT(MATCH(INDIRECT(ADDRESS(ROW(J102)-MOD(ROW(J102)-63,27),COLUMN(J102),4)),Singles!$A$2:$A$33,0)-1,16)*18+94+$S102,MOD(MATCH(INDIRECT(ADDRESS(ROW(J102)-MOD(ROW(J102)-63,27),COLUMN(J102),4)),Singles!$A$2:$A$33,0)-1,16)+2,4)))),"")</f>
        <v/>
      </c>
      <c r="K102" s="78" t="str">
        <f ca="1">IF(Singles!$B$36="Yes",IF(ISERROR(MATCH(INDIRECT(ADDRESS(ROW(K102)-MOD(ROW(K102)-63,27),COLUMN(K102),4)),Singles!$A$2:$A$33,0)),"",IF(INDIRECT("Singles."&amp;ADDRESS(QUOTIENT(MATCH(INDIRECT(ADDRESS(ROW(K102)-MOD(ROW(K102)-63,27),COLUMN(K102),4)),Singles!$A$2:$A$33,0)-1,16)*18+94+$S102,MOD(MATCH(INDIRECT(ADDRESS(ROW(K102)-MOD(ROW(K102)-63,27),COLUMN(K102),4)),Singles!$A$2:$A$33,0)-1,16)+2,4))="","",INDIRECT("Singles."&amp;ADDRESS(QUOTIENT(MATCH(INDIRECT(ADDRESS(ROW(K102)-MOD(ROW(K102)-63,27),COLUMN(K102),4)),Singles!$A$2:$A$33,0)-1,16)*18+94+$S102,MOD(MATCH(INDIRECT(ADDRESS(ROW(K102)-MOD(ROW(K102)-63,27),COLUMN(K102),4)),Singles!$A$2:$A$33,0)-1,16)+2,4)))),"")</f>
        <v/>
      </c>
      <c r="L102" s="78" t="str">
        <f ca="1">IF(Singles!$B$36="Yes",IF(ISERROR(MATCH(INDIRECT(ADDRESS(ROW(L102)-MOD(ROW(L102)-63,27),COLUMN(L102),4)),Singles!$A$2:$A$33,0)),"",IF(INDIRECT("Singles."&amp;ADDRESS(QUOTIENT(MATCH(INDIRECT(ADDRESS(ROW(L102)-MOD(ROW(L102)-63,27),COLUMN(L102),4)),Singles!$A$2:$A$33,0)-1,16)*18+94+$S102,MOD(MATCH(INDIRECT(ADDRESS(ROW(L102)-MOD(ROW(L102)-63,27),COLUMN(L102),4)),Singles!$A$2:$A$33,0)-1,16)+2,4))="","",INDIRECT("Singles."&amp;ADDRESS(QUOTIENT(MATCH(INDIRECT(ADDRESS(ROW(L102)-MOD(ROW(L102)-63,27),COLUMN(L102),4)),Singles!$A$2:$A$33,0)-1,16)*18+94+$S102,MOD(MATCH(INDIRECT(ADDRESS(ROW(L102)-MOD(ROW(L102)-63,27),COLUMN(L102),4)),Singles!$A$2:$A$33,0)-1,16)+2,4)))),"")</f>
        <v/>
      </c>
      <c r="M102" s="78" t="str">
        <f ca="1">IF(Singles!$B$36="Yes",IF(ISERROR(MATCH(INDIRECT(ADDRESS(ROW(M102)-MOD(ROW(M102)-63,27),COLUMN(M102),4)),Singles!$A$2:$A$33,0)),"",IF(INDIRECT("Singles."&amp;ADDRESS(QUOTIENT(MATCH(INDIRECT(ADDRESS(ROW(M102)-MOD(ROW(M102)-63,27),COLUMN(M102),4)),Singles!$A$2:$A$33,0)-1,16)*18+94+$S102,MOD(MATCH(INDIRECT(ADDRESS(ROW(M102)-MOD(ROW(M102)-63,27),COLUMN(M102),4)),Singles!$A$2:$A$33,0)-1,16)+2,4))="","",INDIRECT("Singles."&amp;ADDRESS(QUOTIENT(MATCH(INDIRECT(ADDRESS(ROW(M102)-MOD(ROW(M102)-63,27),COLUMN(M102),4)),Singles!$A$2:$A$33,0)-1,16)*18+94+$S102,MOD(MATCH(INDIRECT(ADDRESS(ROW(M102)-MOD(ROW(M102)-63,27),COLUMN(M102),4)),Singles!$A$2:$A$33,0)-1,16)+2,4)))),"")</f>
        <v/>
      </c>
      <c r="N102" s="78" t="str">
        <f ca="1">IF(Singles!$B$36="Yes",IF(ISERROR(MATCH(INDIRECT(ADDRESS(ROW(N102)-MOD(ROW(N102)-63,27),COLUMN(N102),4)),Singles!$A$2:$A$33,0)),"",IF(INDIRECT("Singles."&amp;ADDRESS(QUOTIENT(MATCH(INDIRECT(ADDRESS(ROW(N102)-MOD(ROW(N102)-63,27),COLUMN(N102),4)),Singles!$A$2:$A$33,0)-1,16)*18+94+$S102,MOD(MATCH(INDIRECT(ADDRESS(ROW(N102)-MOD(ROW(N102)-63,27),COLUMN(N102),4)),Singles!$A$2:$A$33,0)-1,16)+2,4))="","",INDIRECT("Singles."&amp;ADDRESS(QUOTIENT(MATCH(INDIRECT(ADDRESS(ROW(N102)-MOD(ROW(N102)-63,27),COLUMN(N102),4)),Singles!$A$2:$A$33,0)-1,16)*18+94+$S102,MOD(MATCH(INDIRECT(ADDRESS(ROW(N102)-MOD(ROW(N102)-63,27),COLUMN(N102),4)),Singles!$A$2:$A$33,0)-1,16)+2,4)))),"")</f>
        <v/>
      </c>
      <c r="O102" s="78" t="str">
        <f ca="1">IF(Singles!$B$36="Yes",IF(ISERROR(MATCH(INDIRECT(ADDRESS(ROW(O102)-MOD(ROW(O102)-63,27),COLUMN(O102),4)),Singles!$A$2:$A$33,0)),"",IF(INDIRECT("Singles."&amp;ADDRESS(QUOTIENT(MATCH(INDIRECT(ADDRESS(ROW(O102)-MOD(ROW(O102)-63,27),COLUMN(O102),4)),Singles!$A$2:$A$33,0)-1,16)*18+94+$S102,MOD(MATCH(INDIRECT(ADDRESS(ROW(O102)-MOD(ROW(O102)-63,27),COLUMN(O102),4)),Singles!$A$2:$A$33,0)-1,16)+2,4))="","",INDIRECT("Singles."&amp;ADDRESS(QUOTIENT(MATCH(INDIRECT(ADDRESS(ROW(O102)-MOD(ROW(O102)-63,27),COLUMN(O102),4)),Singles!$A$2:$A$33,0)-1,16)*18+94+$S102,MOD(MATCH(INDIRECT(ADDRESS(ROW(O102)-MOD(ROW(O102)-63,27),COLUMN(O102),4)),Singles!$A$2:$A$33,0)-1,16)+2,4)))),"")</f>
        <v/>
      </c>
      <c r="P102" s="78" t="str">
        <f ca="1">IF(Singles!$B$36="Yes",IF(ISERROR(MATCH(INDIRECT(ADDRESS(ROW(P102)-MOD(ROW(P102)-63,27),COLUMN(P102),4)),Singles!$A$2:$A$33,0)),"",IF(INDIRECT("Singles."&amp;ADDRESS(QUOTIENT(MATCH(INDIRECT(ADDRESS(ROW(P102)-MOD(ROW(P102)-63,27),COLUMN(P102),4)),Singles!$A$2:$A$33,0)-1,16)*18+94+$S102,MOD(MATCH(INDIRECT(ADDRESS(ROW(P102)-MOD(ROW(P102)-63,27),COLUMN(P102),4)),Singles!$A$2:$A$33,0)-1,16)+2,4))="","",INDIRECT("Singles."&amp;ADDRESS(QUOTIENT(MATCH(INDIRECT(ADDRESS(ROW(P102)-MOD(ROW(P102)-63,27),COLUMN(P102),4)),Singles!$A$2:$A$33,0)-1,16)*18+94+$S102,MOD(MATCH(INDIRECT(ADDRESS(ROW(P102)-MOD(ROW(P102)-63,27),COLUMN(P102),4)),Singles!$A$2:$A$33,0)-1,16)+2,4)))),"")</f>
        <v/>
      </c>
      <c r="Q102" s="78" t="str">
        <f ca="1">IF(Singles!$B$36="Yes",IF(ISERROR(MATCH(INDIRECT(ADDRESS(ROW(Q102)-MOD(ROW(Q102)-63,27),COLUMN(Q102),4)),Singles!$A$2:$A$33,0)),"",IF(INDIRECT("Singles."&amp;ADDRESS(QUOTIENT(MATCH(INDIRECT(ADDRESS(ROW(Q102)-MOD(ROW(Q102)-63,27),COLUMN(Q102),4)),Singles!$A$2:$A$33,0)-1,16)*18+94+$S102,MOD(MATCH(INDIRECT(ADDRESS(ROW(Q102)-MOD(ROW(Q102)-63,27),COLUMN(Q102),4)),Singles!$A$2:$A$33,0)-1,16)+2,4))="","",INDIRECT("Singles."&amp;ADDRESS(QUOTIENT(MATCH(INDIRECT(ADDRESS(ROW(Q102)-MOD(ROW(Q102)-63,27),COLUMN(Q102),4)),Singles!$A$2:$A$33,0)-1,16)*18+94+$S102,MOD(MATCH(INDIRECT(ADDRESS(ROW(Q102)-MOD(ROW(Q102)-63,27),COLUMN(Q102),4)),Singles!$A$2:$A$33,0)-1,16)+2,4)))),"")</f>
        <v/>
      </c>
      <c r="S102" s="5">
        <v>12</v>
      </c>
    </row>
    <row r="103" spans="1:19">
      <c r="A103" s="5">
        <v>13</v>
      </c>
      <c r="B103" s="78" t="str">
        <f ca="1">IF(Singles!$B$36="Yes",IF(ISERROR(MATCH(INDIRECT(ADDRESS(ROW(B103)-MOD(ROW(B103)-63,27),COLUMN(B103),4)),Singles!$A$2:$A$33,0)),"",IF(INDIRECT("Singles."&amp;ADDRESS(QUOTIENT(MATCH(INDIRECT(ADDRESS(ROW(B103)-MOD(ROW(B103)-63,27),COLUMN(B103),4)),Singles!$A$2:$A$33,0)-1,16)*18+94+$S103,MOD(MATCH(INDIRECT(ADDRESS(ROW(B103)-MOD(ROW(B103)-63,27),COLUMN(B103),4)),Singles!$A$2:$A$33,0)-1,16)+2,4))="","",INDIRECT("Singles."&amp;ADDRESS(QUOTIENT(MATCH(INDIRECT(ADDRESS(ROW(B103)-MOD(ROW(B103)-63,27),COLUMN(B103),4)),Singles!$A$2:$A$33,0)-1,16)*18+94+$S103,MOD(MATCH(INDIRECT(ADDRESS(ROW(B103)-MOD(ROW(B103)-63,27),COLUMN(B103),4)),Singles!$A$2:$A$33,0)-1,16)+2,4)))),"")</f>
        <v/>
      </c>
      <c r="C103" s="78" t="str">
        <f ca="1">IF(Singles!$B$36="Yes",IF(ISERROR(MATCH(INDIRECT(ADDRESS(ROW(C103)-MOD(ROW(C103)-63,27),COLUMN(C103),4)),Singles!$A$2:$A$33,0)),"",IF(INDIRECT("Singles."&amp;ADDRESS(QUOTIENT(MATCH(INDIRECT(ADDRESS(ROW(C103)-MOD(ROW(C103)-63,27),COLUMN(C103),4)),Singles!$A$2:$A$33,0)-1,16)*18+94+$S103,MOD(MATCH(INDIRECT(ADDRESS(ROW(C103)-MOD(ROW(C103)-63,27),COLUMN(C103),4)),Singles!$A$2:$A$33,0)-1,16)+2,4))="","",INDIRECT("Singles."&amp;ADDRESS(QUOTIENT(MATCH(INDIRECT(ADDRESS(ROW(C103)-MOD(ROW(C103)-63,27),COLUMN(C103),4)),Singles!$A$2:$A$33,0)-1,16)*18+94+$S103,MOD(MATCH(INDIRECT(ADDRESS(ROW(C103)-MOD(ROW(C103)-63,27),COLUMN(C103),4)),Singles!$A$2:$A$33,0)-1,16)+2,4)))),"")</f>
        <v/>
      </c>
      <c r="D103" s="78" t="str">
        <f ca="1">IF(Singles!$B$36="Yes",IF(ISERROR(MATCH(INDIRECT(ADDRESS(ROW(D103)-MOD(ROW(D103)-63,27),COLUMN(D103),4)),Singles!$A$2:$A$33,0)),"",IF(INDIRECT("Singles."&amp;ADDRESS(QUOTIENT(MATCH(INDIRECT(ADDRESS(ROW(D103)-MOD(ROW(D103)-63,27),COLUMN(D103),4)),Singles!$A$2:$A$33,0)-1,16)*18+94+$S103,MOD(MATCH(INDIRECT(ADDRESS(ROW(D103)-MOD(ROW(D103)-63,27),COLUMN(D103),4)),Singles!$A$2:$A$33,0)-1,16)+2,4))="","",INDIRECT("Singles."&amp;ADDRESS(QUOTIENT(MATCH(INDIRECT(ADDRESS(ROW(D103)-MOD(ROW(D103)-63,27),COLUMN(D103),4)),Singles!$A$2:$A$33,0)-1,16)*18+94+$S103,MOD(MATCH(INDIRECT(ADDRESS(ROW(D103)-MOD(ROW(D103)-63,27),COLUMN(D103),4)),Singles!$A$2:$A$33,0)-1,16)+2,4)))),"")</f>
        <v/>
      </c>
      <c r="E103" s="78" t="str">
        <f ca="1">IF(Singles!$B$36="Yes",IF(ISERROR(MATCH(INDIRECT(ADDRESS(ROW(E103)-MOD(ROW(E103)-63,27),COLUMN(E103),4)),Singles!$A$2:$A$33,0)),"",IF(INDIRECT("Singles."&amp;ADDRESS(QUOTIENT(MATCH(INDIRECT(ADDRESS(ROW(E103)-MOD(ROW(E103)-63,27),COLUMN(E103),4)),Singles!$A$2:$A$33,0)-1,16)*18+94+$S103,MOD(MATCH(INDIRECT(ADDRESS(ROW(E103)-MOD(ROW(E103)-63,27),COLUMN(E103),4)),Singles!$A$2:$A$33,0)-1,16)+2,4))="","",INDIRECT("Singles."&amp;ADDRESS(QUOTIENT(MATCH(INDIRECT(ADDRESS(ROW(E103)-MOD(ROW(E103)-63,27),COLUMN(E103),4)),Singles!$A$2:$A$33,0)-1,16)*18+94+$S103,MOD(MATCH(INDIRECT(ADDRESS(ROW(E103)-MOD(ROW(E103)-63,27),COLUMN(E103),4)),Singles!$A$2:$A$33,0)-1,16)+2,4)))),"")</f>
        <v/>
      </c>
      <c r="F103" s="78" t="str">
        <f ca="1">IF(Singles!$B$36="Yes",IF(ISERROR(MATCH(INDIRECT(ADDRESS(ROW(F103)-MOD(ROW(F103)-63,27),COLUMN(F103),4)),Singles!$A$2:$A$33,0)),"",IF(INDIRECT("Singles."&amp;ADDRESS(QUOTIENT(MATCH(INDIRECT(ADDRESS(ROW(F103)-MOD(ROW(F103)-63,27),COLUMN(F103),4)),Singles!$A$2:$A$33,0)-1,16)*18+94+$S103,MOD(MATCH(INDIRECT(ADDRESS(ROW(F103)-MOD(ROW(F103)-63,27),COLUMN(F103),4)),Singles!$A$2:$A$33,0)-1,16)+2,4))="","",INDIRECT("Singles."&amp;ADDRESS(QUOTIENT(MATCH(INDIRECT(ADDRESS(ROW(F103)-MOD(ROW(F103)-63,27),COLUMN(F103),4)),Singles!$A$2:$A$33,0)-1,16)*18+94+$S103,MOD(MATCH(INDIRECT(ADDRESS(ROW(F103)-MOD(ROW(F103)-63,27),COLUMN(F103),4)),Singles!$A$2:$A$33,0)-1,16)+2,4)))),"")</f>
        <v/>
      </c>
      <c r="G103" s="78" t="str">
        <f ca="1">IF(Singles!$B$36="Yes",IF(ISERROR(MATCH(INDIRECT(ADDRESS(ROW(G103)-MOD(ROW(G103)-63,27),COLUMN(G103),4)),Singles!$A$2:$A$33,0)),"",IF(INDIRECT("Singles."&amp;ADDRESS(QUOTIENT(MATCH(INDIRECT(ADDRESS(ROW(G103)-MOD(ROW(G103)-63,27),COLUMN(G103),4)),Singles!$A$2:$A$33,0)-1,16)*18+94+$S103,MOD(MATCH(INDIRECT(ADDRESS(ROW(G103)-MOD(ROW(G103)-63,27),COLUMN(G103),4)),Singles!$A$2:$A$33,0)-1,16)+2,4))="","",INDIRECT("Singles."&amp;ADDRESS(QUOTIENT(MATCH(INDIRECT(ADDRESS(ROW(G103)-MOD(ROW(G103)-63,27),COLUMN(G103),4)),Singles!$A$2:$A$33,0)-1,16)*18+94+$S103,MOD(MATCH(INDIRECT(ADDRESS(ROW(G103)-MOD(ROW(G103)-63,27),COLUMN(G103),4)),Singles!$A$2:$A$33,0)-1,16)+2,4)))),"")</f>
        <v/>
      </c>
      <c r="H103" s="78" t="str">
        <f ca="1">IF(Singles!$B$36="Yes",IF(ISERROR(MATCH(INDIRECT(ADDRESS(ROW(H103)-MOD(ROW(H103)-63,27),COLUMN(H103),4)),Singles!$A$2:$A$33,0)),"",IF(INDIRECT("Singles."&amp;ADDRESS(QUOTIENT(MATCH(INDIRECT(ADDRESS(ROW(H103)-MOD(ROW(H103)-63,27),COLUMN(H103),4)),Singles!$A$2:$A$33,0)-1,16)*18+94+$S103,MOD(MATCH(INDIRECT(ADDRESS(ROW(H103)-MOD(ROW(H103)-63,27),COLUMN(H103),4)),Singles!$A$2:$A$33,0)-1,16)+2,4))="","",INDIRECT("Singles."&amp;ADDRESS(QUOTIENT(MATCH(INDIRECT(ADDRESS(ROW(H103)-MOD(ROW(H103)-63,27),COLUMN(H103),4)),Singles!$A$2:$A$33,0)-1,16)*18+94+$S103,MOD(MATCH(INDIRECT(ADDRESS(ROW(H103)-MOD(ROW(H103)-63,27),COLUMN(H103),4)),Singles!$A$2:$A$33,0)-1,16)+2,4)))),"")</f>
        <v/>
      </c>
      <c r="I103" s="78" t="str">
        <f ca="1">IF(Singles!$B$36="Yes",IF(ISERROR(MATCH(INDIRECT(ADDRESS(ROW(I103)-MOD(ROW(I103)-63,27),COLUMN(I103),4)),Singles!$A$2:$A$33,0)),"",IF(INDIRECT("Singles."&amp;ADDRESS(QUOTIENT(MATCH(INDIRECT(ADDRESS(ROW(I103)-MOD(ROW(I103)-63,27),COLUMN(I103),4)),Singles!$A$2:$A$33,0)-1,16)*18+94+$S103,MOD(MATCH(INDIRECT(ADDRESS(ROW(I103)-MOD(ROW(I103)-63,27),COLUMN(I103),4)),Singles!$A$2:$A$33,0)-1,16)+2,4))="","",INDIRECT("Singles."&amp;ADDRESS(QUOTIENT(MATCH(INDIRECT(ADDRESS(ROW(I103)-MOD(ROW(I103)-63,27),COLUMN(I103),4)),Singles!$A$2:$A$33,0)-1,16)*18+94+$S103,MOD(MATCH(INDIRECT(ADDRESS(ROW(I103)-MOD(ROW(I103)-63,27),COLUMN(I103),4)),Singles!$A$2:$A$33,0)-1,16)+2,4)))),"")</f>
        <v/>
      </c>
      <c r="J103" s="78" t="str">
        <f ca="1">IF(Singles!$B$36="Yes",IF(ISERROR(MATCH(INDIRECT(ADDRESS(ROW(J103)-MOD(ROW(J103)-63,27),COLUMN(J103),4)),Singles!$A$2:$A$33,0)),"",IF(INDIRECT("Singles."&amp;ADDRESS(QUOTIENT(MATCH(INDIRECT(ADDRESS(ROW(J103)-MOD(ROW(J103)-63,27),COLUMN(J103),4)),Singles!$A$2:$A$33,0)-1,16)*18+94+$S103,MOD(MATCH(INDIRECT(ADDRESS(ROW(J103)-MOD(ROW(J103)-63,27),COLUMN(J103),4)),Singles!$A$2:$A$33,0)-1,16)+2,4))="","",INDIRECT("Singles."&amp;ADDRESS(QUOTIENT(MATCH(INDIRECT(ADDRESS(ROW(J103)-MOD(ROW(J103)-63,27),COLUMN(J103),4)),Singles!$A$2:$A$33,0)-1,16)*18+94+$S103,MOD(MATCH(INDIRECT(ADDRESS(ROW(J103)-MOD(ROW(J103)-63,27),COLUMN(J103),4)),Singles!$A$2:$A$33,0)-1,16)+2,4)))),"")</f>
        <v/>
      </c>
      <c r="K103" s="78" t="str">
        <f ca="1">IF(Singles!$B$36="Yes",IF(ISERROR(MATCH(INDIRECT(ADDRESS(ROW(K103)-MOD(ROW(K103)-63,27),COLUMN(K103),4)),Singles!$A$2:$A$33,0)),"",IF(INDIRECT("Singles."&amp;ADDRESS(QUOTIENT(MATCH(INDIRECT(ADDRESS(ROW(K103)-MOD(ROW(K103)-63,27),COLUMN(K103),4)),Singles!$A$2:$A$33,0)-1,16)*18+94+$S103,MOD(MATCH(INDIRECT(ADDRESS(ROW(K103)-MOD(ROW(K103)-63,27),COLUMN(K103),4)),Singles!$A$2:$A$33,0)-1,16)+2,4))="","",INDIRECT("Singles."&amp;ADDRESS(QUOTIENT(MATCH(INDIRECT(ADDRESS(ROW(K103)-MOD(ROW(K103)-63,27),COLUMN(K103),4)),Singles!$A$2:$A$33,0)-1,16)*18+94+$S103,MOD(MATCH(INDIRECT(ADDRESS(ROW(K103)-MOD(ROW(K103)-63,27),COLUMN(K103),4)),Singles!$A$2:$A$33,0)-1,16)+2,4)))),"")</f>
        <v/>
      </c>
      <c r="L103" s="78" t="str">
        <f ca="1">IF(Singles!$B$36="Yes",IF(ISERROR(MATCH(INDIRECT(ADDRESS(ROW(L103)-MOD(ROW(L103)-63,27),COLUMN(L103),4)),Singles!$A$2:$A$33,0)),"",IF(INDIRECT("Singles."&amp;ADDRESS(QUOTIENT(MATCH(INDIRECT(ADDRESS(ROW(L103)-MOD(ROW(L103)-63,27),COLUMN(L103),4)),Singles!$A$2:$A$33,0)-1,16)*18+94+$S103,MOD(MATCH(INDIRECT(ADDRESS(ROW(L103)-MOD(ROW(L103)-63,27),COLUMN(L103),4)),Singles!$A$2:$A$33,0)-1,16)+2,4))="","",INDIRECT("Singles."&amp;ADDRESS(QUOTIENT(MATCH(INDIRECT(ADDRESS(ROW(L103)-MOD(ROW(L103)-63,27),COLUMN(L103),4)),Singles!$A$2:$A$33,0)-1,16)*18+94+$S103,MOD(MATCH(INDIRECT(ADDRESS(ROW(L103)-MOD(ROW(L103)-63,27),COLUMN(L103),4)),Singles!$A$2:$A$33,0)-1,16)+2,4)))),"")</f>
        <v/>
      </c>
      <c r="M103" s="78" t="str">
        <f ca="1">IF(Singles!$B$36="Yes",IF(ISERROR(MATCH(INDIRECT(ADDRESS(ROW(M103)-MOD(ROW(M103)-63,27),COLUMN(M103),4)),Singles!$A$2:$A$33,0)),"",IF(INDIRECT("Singles."&amp;ADDRESS(QUOTIENT(MATCH(INDIRECT(ADDRESS(ROW(M103)-MOD(ROW(M103)-63,27),COLUMN(M103),4)),Singles!$A$2:$A$33,0)-1,16)*18+94+$S103,MOD(MATCH(INDIRECT(ADDRESS(ROW(M103)-MOD(ROW(M103)-63,27),COLUMN(M103),4)),Singles!$A$2:$A$33,0)-1,16)+2,4))="","",INDIRECT("Singles."&amp;ADDRESS(QUOTIENT(MATCH(INDIRECT(ADDRESS(ROW(M103)-MOD(ROW(M103)-63,27),COLUMN(M103),4)),Singles!$A$2:$A$33,0)-1,16)*18+94+$S103,MOD(MATCH(INDIRECT(ADDRESS(ROW(M103)-MOD(ROW(M103)-63,27),COLUMN(M103),4)),Singles!$A$2:$A$33,0)-1,16)+2,4)))),"")</f>
        <v/>
      </c>
      <c r="N103" s="78" t="str">
        <f ca="1">IF(Singles!$B$36="Yes",IF(ISERROR(MATCH(INDIRECT(ADDRESS(ROW(N103)-MOD(ROW(N103)-63,27),COLUMN(N103),4)),Singles!$A$2:$A$33,0)),"",IF(INDIRECT("Singles."&amp;ADDRESS(QUOTIENT(MATCH(INDIRECT(ADDRESS(ROW(N103)-MOD(ROW(N103)-63,27),COLUMN(N103),4)),Singles!$A$2:$A$33,0)-1,16)*18+94+$S103,MOD(MATCH(INDIRECT(ADDRESS(ROW(N103)-MOD(ROW(N103)-63,27),COLUMN(N103),4)),Singles!$A$2:$A$33,0)-1,16)+2,4))="","",INDIRECT("Singles."&amp;ADDRESS(QUOTIENT(MATCH(INDIRECT(ADDRESS(ROW(N103)-MOD(ROW(N103)-63,27),COLUMN(N103),4)),Singles!$A$2:$A$33,0)-1,16)*18+94+$S103,MOD(MATCH(INDIRECT(ADDRESS(ROW(N103)-MOD(ROW(N103)-63,27),COLUMN(N103),4)),Singles!$A$2:$A$33,0)-1,16)+2,4)))),"")</f>
        <v/>
      </c>
      <c r="O103" s="78" t="str">
        <f ca="1">IF(Singles!$B$36="Yes",IF(ISERROR(MATCH(INDIRECT(ADDRESS(ROW(O103)-MOD(ROW(O103)-63,27),COLUMN(O103),4)),Singles!$A$2:$A$33,0)),"",IF(INDIRECT("Singles."&amp;ADDRESS(QUOTIENT(MATCH(INDIRECT(ADDRESS(ROW(O103)-MOD(ROW(O103)-63,27),COLUMN(O103),4)),Singles!$A$2:$A$33,0)-1,16)*18+94+$S103,MOD(MATCH(INDIRECT(ADDRESS(ROW(O103)-MOD(ROW(O103)-63,27),COLUMN(O103),4)),Singles!$A$2:$A$33,0)-1,16)+2,4))="","",INDIRECT("Singles."&amp;ADDRESS(QUOTIENT(MATCH(INDIRECT(ADDRESS(ROW(O103)-MOD(ROW(O103)-63,27),COLUMN(O103),4)),Singles!$A$2:$A$33,0)-1,16)*18+94+$S103,MOD(MATCH(INDIRECT(ADDRESS(ROW(O103)-MOD(ROW(O103)-63,27),COLUMN(O103),4)),Singles!$A$2:$A$33,0)-1,16)+2,4)))),"")</f>
        <v/>
      </c>
      <c r="P103" s="78" t="str">
        <f ca="1">IF(Singles!$B$36="Yes",IF(ISERROR(MATCH(INDIRECT(ADDRESS(ROW(P103)-MOD(ROW(P103)-63,27),COLUMN(P103),4)),Singles!$A$2:$A$33,0)),"",IF(INDIRECT("Singles."&amp;ADDRESS(QUOTIENT(MATCH(INDIRECT(ADDRESS(ROW(P103)-MOD(ROW(P103)-63,27),COLUMN(P103),4)),Singles!$A$2:$A$33,0)-1,16)*18+94+$S103,MOD(MATCH(INDIRECT(ADDRESS(ROW(P103)-MOD(ROW(P103)-63,27),COLUMN(P103),4)),Singles!$A$2:$A$33,0)-1,16)+2,4))="","",INDIRECT("Singles."&amp;ADDRESS(QUOTIENT(MATCH(INDIRECT(ADDRESS(ROW(P103)-MOD(ROW(P103)-63,27),COLUMN(P103),4)),Singles!$A$2:$A$33,0)-1,16)*18+94+$S103,MOD(MATCH(INDIRECT(ADDRESS(ROW(P103)-MOD(ROW(P103)-63,27),COLUMN(P103),4)),Singles!$A$2:$A$33,0)-1,16)+2,4)))),"")</f>
        <v/>
      </c>
      <c r="Q103" s="78" t="str">
        <f ca="1">IF(Singles!$B$36="Yes",IF(ISERROR(MATCH(INDIRECT(ADDRESS(ROW(Q103)-MOD(ROW(Q103)-63,27),COLUMN(Q103),4)),Singles!$A$2:$A$33,0)),"",IF(INDIRECT("Singles."&amp;ADDRESS(QUOTIENT(MATCH(INDIRECT(ADDRESS(ROW(Q103)-MOD(ROW(Q103)-63,27),COLUMN(Q103),4)),Singles!$A$2:$A$33,0)-1,16)*18+94+$S103,MOD(MATCH(INDIRECT(ADDRESS(ROW(Q103)-MOD(ROW(Q103)-63,27),COLUMN(Q103),4)),Singles!$A$2:$A$33,0)-1,16)+2,4))="","",INDIRECT("Singles."&amp;ADDRESS(QUOTIENT(MATCH(INDIRECT(ADDRESS(ROW(Q103)-MOD(ROW(Q103)-63,27),COLUMN(Q103),4)),Singles!$A$2:$A$33,0)-1,16)*18+94+$S103,MOD(MATCH(INDIRECT(ADDRESS(ROW(Q103)-MOD(ROW(Q103)-63,27),COLUMN(Q103),4)),Singles!$A$2:$A$33,0)-1,16)+2,4)))),"")</f>
        <v/>
      </c>
      <c r="S103" s="5">
        <v>13</v>
      </c>
    </row>
    <row r="104" spans="1:19">
      <c r="A104" s="5">
        <v>14</v>
      </c>
      <c r="B104" s="78" t="str">
        <f ca="1">IF(Singles!$B$36="Yes",IF(ISERROR(MATCH(INDIRECT(ADDRESS(ROW(B104)-MOD(ROW(B104)-63,27),COLUMN(B104),4)),Singles!$A$2:$A$33,0)),"",IF(INDIRECT("Singles."&amp;ADDRESS(QUOTIENT(MATCH(INDIRECT(ADDRESS(ROW(B104)-MOD(ROW(B104)-63,27),COLUMN(B104),4)),Singles!$A$2:$A$33,0)-1,16)*18+94+$S104,MOD(MATCH(INDIRECT(ADDRESS(ROW(B104)-MOD(ROW(B104)-63,27),COLUMN(B104),4)),Singles!$A$2:$A$33,0)-1,16)+2,4))="","",INDIRECT("Singles."&amp;ADDRESS(QUOTIENT(MATCH(INDIRECT(ADDRESS(ROW(B104)-MOD(ROW(B104)-63,27),COLUMN(B104),4)),Singles!$A$2:$A$33,0)-1,16)*18+94+$S104,MOD(MATCH(INDIRECT(ADDRESS(ROW(B104)-MOD(ROW(B104)-63,27),COLUMN(B104),4)),Singles!$A$2:$A$33,0)-1,16)+2,4)))),"")</f>
        <v/>
      </c>
      <c r="C104" s="78" t="str">
        <f ca="1">IF(Singles!$B$36="Yes",IF(ISERROR(MATCH(INDIRECT(ADDRESS(ROW(C104)-MOD(ROW(C104)-63,27),COLUMN(C104),4)),Singles!$A$2:$A$33,0)),"",IF(INDIRECT("Singles."&amp;ADDRESS(QUOTIENT(MATCH(INDIRECT(ADDRESS(ROW(C104)-MOD(ROW(C104)-63,27),COLUMN(C104),4)),Singles!$A$2:$A$33,0)-1,16)*18+94+$S104,MOD(MATCH(INDIRECT(ADDRESS(ROW(C104)-MOD(ROW(C104)-63,27),COLUMN(C104),4)),Singles!$A$2:$A$33,0)-1,16)+2,4))="","",INDIRECT("Singles."&amp;ADDRESS(QUOTIENT(MATCH(INDIRECT(ADDRESS(ROW(C104)-MOD(ROW(C104)-63,27),COLUMN(C104),4)),Singles!$A$2:$A$33,0)-1,16)*18+94+$S104,MOD(MATCH(INDIRECT(ADDRESS(ROW(C104)-MOD(ROW(C104)-63,27),COLUMN(C104),4)),Singles!$A$2:$A$33,0)-1,16)+2,4)))),"")</f>
        <v/>
      </c>
      <c r="D104" s="78" t="str">
        <f ca="1">IF(Singles!$B$36="Yes",IF(ISERROR(MATCH(INDIRECT(ADDRESS(ROW(D104)-MOD(ROW(D104)-63,27),COLUMN(D104),4)),Singles!$A$2:$A$33,0)),"",IF(INDIRECT("Singles."&amp;ADDRESS(QUOTIENT(MATCH(INDIRECT(ADDRESS(ROW(D104)-MOD(ROW(D104)-63,27),COLUMN(D104),4)),Singles!$A$2:$A$33,0)-1,16)*18+94+$S104,MOD(MATCH(INDIRECT(ADDRESS(ROW(D104)-MOD(ROW(D104)-63,27),COLUMN(D104),4)),Singles!$A$2:$A$33,0)-1,16)+2,4))="","",INDIRECT("Singles."&amp;ADDRESS(QUOTIENT(MATCH(INDIRECT(ADDRESS(ROW(D104)-MOD(ROW(D104)-63,27),COLUMN(D104),4)),Singles!$A$2:$A$33,0)-1,16)*18+94+$S104,MOD(MATCH(INDIRECT(ADDRESS(ROW(D104)-MOD(ROW(D104)-63,27),COLUMN(D104),4)),Singles!$A$2:$A$33,0)-1,16)+2,4)))),"")</f>
        <v/>
      </c>
      <c r="E104" s="78" t="str">
        <f ca="1">IF(Singles!$B$36="Yes",IF(ISERROR(MATCH(INDIRECT(ADDRESS(ROW(E104)-MOD(ROW(E104)-63,27),COLUMN(E104),4)),Singles!$A$2:$A$33,0)),"",IF(INDIRECT("Singles."&amp;ADDRESS(QUOTIENT(MATCH(INDIRECT(ADDRESS(ROW(E104)-MOD(ROW(E104)-63,27),COLUMN(E104),4)),Singles!$A$2:$A$33,0)-1,16)*18+94+$S104,MOD(MATCH(INDIRECT(ADDRESS(ROW(E104)-MOD(ROW(E104)-63,27),COLUMN(E104),4)),Singles!$A$2:$A$33,0)-1,16)+2,4))="","",INDIRECT("Singles."&amp;ADDRESS(QUOTIENT(MATCH(INDIRECT(ADDRESS(ROW(E104)-MOD(ROW(E104)-63,27),COLUMN(E104),4)),Singles!$A$2:$A$33,0)-1,16)*18+94+$S104,MOD(MATCH(INDIRECT(ADDRESS(ROW(E104)-MOD(ROW(E104)-63,27),COLUMN(E104),4)),Singles!$A$2:$A$33,0)-1,16)+2,4)))),"")</f>
        <v/>
      </c>
      <c r="F104" s="78" t="str">
        <f ca="1">IF(Singles!$B$36="Yes",IF(ISERROR(MATCH(INDIRECT(ADDRESS(ROW(F104)-MOD(ROW(F104)-63,27),COLUMN(F104),4)),Singles!$A$2:$A$33,0)),"",IF(INDIRECT("Singles."&amp;ADDRESS(QUOTIENT(MATCH(INDIRECT(ADDRESS(ROW(F104)-MOD(ROW(F104)-63,27),COLUMN(F104),4)),Singles!$A$2:$A$33,0)-1,16)*18+94+$S104,MOD(MATCH(INDIRECT(ADDRESS(ROW(F104)-MOD(ROW(F104)-63,27),COLUMN(F104),4)),Singles!$A$2:$A$33,0)-1,16)+2,4))="","",INDIRECT("Singles."&amp;ADDRESS(QUOTIENT(MATCH(INDIRECT(ADDRESS(ROW(F104)-MOD(ROW(F104)-63,27),COLUMN(F104),4)),Singles!$A$2:$A$33,0)-1,16)*18+94+$S104,MOD(MATCH(INDIRECT(ADDRESS(ROW(F104)-MOD(ROW(F104)-63,27),COLUMN(F104),4)),Singles!$A$2:$A$33,0)-1,16)+2,4)))),"")</f>
        <v/>
      </c>
      <c r="G104" s="78" t="str">
        <f ca="1">IF(Singles!$B$36="Yes",IF(ISERROR(MATCH(INDIRECT(ADDRESS(ROW(G104)-MOD(ROW(G104)-63,27),COLUMN(G104),4)),Singles!$A$2:$A$33,0)),"",IF(INDIRECT("Singles."&amp;ADDRESS(QUOTIENT(MATCH(INDIRECT(ADDRESS(ROW(G104)-MOD(ROW(G104)-63,27),COLUMN(G104),4)),Singles!$A$2:$A$33,0)-1,16)*18+94+$S104,MOD(MATCH(INDIRECT(ADDRESS(ROW(G104)-MOD(ROW(G104)-63,27),COLUMN(G104),4)),Singles!$A$2:$A$33,0)-1,16)+2,4))="","",INDIRECT("Singles."&amp;ADDRESS(QUOTIENT(MATCH(INDIRECT(ADDRESS(ROW(G104)-MOD(ROW(G104)-63,27),COLUMN(G104),4)),Singles!$A$2:$A$33,0)-1,16)*18+94+$S104,MOD(MATCH(INDIRECT(ADDRESS(ROW(G104)-MOD(ROW(G104)-63,27),COLUMN(G104),4)),Singles!$A$2:$A$33,0)-1,16)+2,4)))),"")</f>
        <v/>
      </c>
      <c r="H104" s="78" t="str">
        <f ca="1">IF(Singles!$B$36="Yes",IF(ISERROR(MATCH(INDIRECT(ADDRESS(ROW(H104)-MOD(ROW(H104)-63,27),COLUMN(H104),4)),Singles!$A$2:$A$33,0)),"",IF(INDIRECT("Singles."&amp;ADDRESS(QUOTIENT(MATCH(INDIRECT(ADDRESS(ROW(H104)-MOD(ROW(H104)-63,27),COLUMN(H104),4)),Singles!$A$2:$A$33,0)-1,16)*18+94+$S104,MOD(MATCH(INDIRECT(ADDRESS(ROW(H104)-MOD(ROW(H104)-63,27),COLUMN(H104),4)),Singles!$A$2:$A$33,0)-1,16)+2,4))="","",INDIRECT("Singles."&amp;ADDRESS(QUOTIENT(MATCH(INDIRECT(ADDRESS(ROW(H104)-MOD(ROW(H104)-63,27),COLUMN(H104),4)),Singles!$A$2:$A$33,0)-1,16)*18+94+$S104,MOD(MATCH(INDIRECT(ADDRESS(ROW(H104)-MOD(ROW(H104)-63,27),COLUMN(H104),4)),Singles!$A$2:$A$33,0)-1,16)+2,4)))),"")</f>
        <v/>
      </c>
      <c r="I104" s="78" t="str">
        <f ca="1">IF(Singles!$B$36="Yes",IF(ISERROR(MATCH(INDIRECT(ADDRESS(ROW(I104)-MOD(ROW(I104)-63,27),COLUMN(I104),4)),Singles!$A$2:$A$33,0)),"",IF(INDIRECT("Singles."&amp;ADDRESS(QUOTIENT(MATCH(INDIRECT(ADDRESS(ROW(I104)-MOD(ROW(I104)-63,27),COLUMN(I104),4)),Singles!$A$2:$A$33,0)-1,16)*18+94+$S104,MOD(MATCH(INDIRECT(ADDRESS(ROW(I104)-MOD(ROW(I104)-63,27),COLUMN(I104),4)),Singles!$A$2:$A$33,0)-1,16)+2,4))="","",INDIRECT("Singles."&amp;ADDRESS(QUOTIENT(MATCH(INDIRECT(ADDRESS(ROW(I104)-MOD(ROW(I104)-63,27),COLUMN(I104),4)),Singles!$A$2:$A$33,0)-1,16)*18+94+$S104,MOD(MATCH(INDIRECT(ADDRESS(ROW(I104)-MOD(ROW(I104)-63,27),COLUMN(I104),4)),Singles!$A$2:$A$33,0)-1,16)+2,4)))),"")</f>
        <v/>
      </c>
      <c r="J104" s="78" t="str">
        <f ca="1">IF(Singles!$B$36="Yes",IF(ISERROR(MATCH(INDIRECT(ADDRESS(ROW(J104)-MOD(ROW(J104)-63,27),COLUMN(J104),4)),Singles!$A$2:$A$33,0)),"",IF(INDIRECT("Singles."&amp;ADDRESS(QUOTIENT(MATCH(INDIRECT(ADDRESS(ROW(J104)-MOD(ROW(J104)-63,27),COLUMN(J104),4)),Singles!$A$2:$A$33,0)-1,16)*18+94+$S104,MOD(MATCH(INDIRECT(ADDRESS(ROW(J104)-MOD(ROW(J104)-63,27),COLUMN(J104),4)),Singles!$A$2:$A$33,0)-1,16)+2,4))="","",INDIRECT("Singles."&amp;ADDRESS(QUOTIENT(MATCH(INDIRECT(ADDRESS(ROW(J104)-MOD(ROW(J104)-63,27),COLUMN(J104),4)),Singles!$A$2:$A$33,0)-1,16)*18+94+$S104,MOD(MATCH(INDIRECT(ADDRESS(ROW(J104)-MOD(ROW(J104)-63,27),COLUMN(J104),4)),Singles!$A$2:$A$33,0)-1,16)+2,4)))),"")</f>
        <v/>
      </c>
      <c r="K104" s="78" t="str">
        <f ca="1">IF(Singles!$B$36="Yes",IF(ISERROR(MATCH(INDIRECT(ADDRESS(ROW(K104)-MOD(ROW(K104)-63,27),COLUMN(K104),4)),Singles!$A$2:$A$33,0)),"",IF(INDIRECT("Singles."&amp;ADDRESS(QUOTIENT(MATCH(INDIRECT(ADDRESS(ROW(K104)-MOD(ROW(K104)-63,27),COLUMN(K104),4)),Singles!$A$2:$A$33,0)-1,16)*18+94+$S104,MOD(MATCH(INDIRECT(ADDRESS(ROW(K104)-MOD(ROW(K104)-63,27),COLUMN(K104),4)),Singles!$A$2:$A$33,0)-1,16)+2,4))="","",INDIRECT("Singles."&amp;ADDRESS(QUOTIENT(MATCH(INDIRECT(ADDRESS(ROW(K104)-MOD(ROW(K104)-63,27),COLUMN(K104),4)),Singles!$A$2:$A$33,0)-1,16)*18+94+$S104,MOD(MATCH(INDIRECT(ADDRESS(ROW(K104)-MOD(ROW(K104)-63,27),COLUMN(K104),4)),Singles!$A$2:$A$33,0)-1,16)+2,4)))),"")</f>
        <v/>
      </c>
      <c r="L104" s="78" t="str">
        <f ca="1">IF(Singles!$B$36="Yes",IF(ISERROR(MATCH(INDIRECT(ADDRESS(ROW(L104)-MOD(ROW(L104)-63,27),COLUMN(L104),4)),Singles!$A$2:$A$33,0)),"",IF(INDIRECT("Singles."&amp;ADDRESS(QUOTIENT(MATCH(INDIRECT(ADDRESS(ROW(L104)-MOD(ROW(L104)-63,27),COLUMN(L104),4)),Singles!$A$2:$A$33,0)-1,16)*18+94+$S104,MOD(MATCH(INDIRECT(ADDRESS(ROW(L104)-MOD(ROW(L104)-63,27),COLUMN(L104),4)),Singles!$A$2:$A$33,0)-1,16)+2,4))="","",INDIRECT("Singles."&amp;ADDRESS(QUOTIENT(MATCH(INDIRECT(ADDRESS(ROW(L104)-MOD(ROW(L104)-63,27),COLUMN(L104),4)),Singles!$A$2:$A$33,0)-1,16)*18+94+$S104,MOD(MATCH(INDIRECT(ADDRESS(ROW(L104)-MOD(ROW(L104)-63,27),COLUMN(L104),4)),Singles!$A$2:$A$33,0)-1,16)+2,4)))),"")</f>
        <v/>
      </c>
      <c r="M104" s="78" t="str">
        <f ca="1">IF(Singles!$B$36="Yes",IF(ISERROR(MATCH(INDIRECT(ADDRESS(ROW(M104)-MOD(ROW(M104)-63,27),COLUMN(M104),4)),Singles!$A$2:$A$33,0)),"",IF(INDIRECT("Singles."&amp;ADDRESS(QUOTIENT(MATCH(INDIRECT(ADDRESS(ROW(M104)-MOD(ROW(M104)-63,27),COLUMN(M104),4)),Singles!$A$2:$A$33,0)-1,16)*18+94+$S104,MOD(MATCH(INDIRECT(ADDRESS(ROW(M104)-MOD(ROW(M104)-63,27),COLUMN(M104),4)),Singles!$A$2:$A$33,0)-1,16)+2,4))="","",INDIRECT("Singles."&amp;ADDRESS(QUOTIENT(MATCH(INDIRECT(ADDRESS(ROW(M104)-MOD(ROW(M104)-63,27),COLUMN(M104),4)),Singles!$A$2:$A$33,0)-1,16)*18+94+$S104,MOD(MATCH(INDIRECT(ADDRESS(ROW(M104)-MOD(ROW(M104)-63,27),COLUMN(M104),4)),Singles!$A$2:$A$33,0)-1,16)+2,4)))),"")</f>
        <v/>
      </c>
      <c r="N104" s="78" t="str">
        <f ca="1">IF(Singles!$B$36="Yes",IF(ISERROR(MATCH(INDIRECT(ADDRESS(ROW(N104)-MOD(ROW(N104)-63,27),COLUMN(N104),4)),Singles!$A$2:$A$33,0)),"",IF(INDIRECT("Singles."&amp;ADDRESS(QUOTIENT(MATCH(INDIRECT(ADDRESS(ROW(N104)-MOD(ROW(N104)-63,27),COLUMN(N104),4)),Singles!$A$2:$A$33,0)-1,16)*18+94+$S104,MOD(MATCH(INDIRECT(ADDRESS(ROW(N104)-MOD(ROW(N104)-63,27),COLUMN(N104),4)),Singles!$A$2:$A$33,0)-1,16)+2,4))="","",INDIRECT("Singles."&amp;ADDRESS(QUOTIENT(MATCH(INDIRECT(ADDRESS(ROW(N104)-MOD(ROW(N104)-63,27),COLUMN(N104),4)),Singles!$A$2:$A$33,0)-1,16)*18+94+$S104,MOD(MATCH(INDIRECT(ADDRESS(ROW(N104)-MOD(ROW(N104)-63,27),COLUMN(N104),4)),Singles!$A$2:$A$33,0)-1,16)+2,4)))),"")</f>
        <v/>
      </c>
      <c r="O104" s="78" t="str">
        <f ca="1">IF(Singles!$B$36="Yes",IF(ISERROR(MATCH(INDIRECT(ADDRESS(ROW(O104)-MOD(ROW(O104)-63,27),COLUMN(O104),4)),Singles!$A$2:$A$33,0)),"",IF(INDIRECT("Singles."&amp;ADDRESS(QUOTIENT(MATCH(INDIRECT(ADDRESS(ROW(O104)-MOD(ROW(O104)-63,27),COLUMN(O104),4)),Singles!$A$2:$A$33,0)-1,16)*18+94+$S104,MOD(MATCH(INDIRECT(ADDRESS(ROW(O104)-MOD(ROW(O104)-63,27),COLUMN(O104),4)),Singles!$A$2:$A$33,0)-1,16)+2,4))="","",INDIRECT("Singles."&amp;ADDRESS(QUOTIENT(MATCH(INDIRECT(ADDRESS(ROW(O104)-MOD(ROW(O104)-63,27),COLUMN(O104),4)),Singles!$A$2:$A$33,0)-1,16)*18+94+$S104,MOD(MATCH(INDIRECT(ADDRESS(ROW(O104)-MOD(ROW(O104)-63,27),COLUMN(O104),4)),Singles!$A$2:$A$33,0)-1,16)+2,4)))),"")</f>
        <v/>
      </c>
      <c r="P104" s="78" t="str">
        <f ca="1">IF(Singles!$B$36="Yes",IF(ISERROR(MATCH(INDIRECT(ADDRESS(ROW(P104)-MOD(ROW(P104)-63,27),COLUMN(P104),4)),Singles!$A$2:$A$33,0)),"",IF(INDIRECT("Singles."&amp;ADDRESS(QUOTIENT(MATCH(INDIRECT(ADDRESS(ROW(P104)-MOD(ROW(P104)-63,27),COLUMN(P104),4)),Singles!$A$2:$A$33,0)-1,16)*18+94+$S104,MOD(MATCH(INDIRECT(ADDRESS(ROW(P104)-MOD(ROW(P104)-63,27),COLUMN(P104),4)),Singles!$A$2:$A$33,0)-1,16)+2,4))="","",INDIRECT("Singles."&amp;ADDRESS(QUOTIENT(MATCH(INDIRECT(ADDRESS(ROW(P104)-MOD(ROW(P104)-63,27),COLUMN(P104),4)),Singles!$A$2:$A$33,0)-1,16)*18+94+$S104,MOD(MATCH(INDIRECT(ADDRESS(ROW(P104)-MOD(ROW(P104)-63,27),COLUMN(P104),4)),Singles!$A$2:$A$33,0)-1,16)+2,4)))),"")</f>
        <v/>
      </c>
      <c r="Q104" s="78" t="str">
        <f ca="1">IF(Singles!$B$36="Yes",IF(ISERROR(MATCH(INDIRECT(ADDRESS(ROW(Q104)-MOD(ROW(Q104)-63,27),COLUMN(Q104),4)),Singles!$A$2:$A$33,0)),"",IF(INDIRECT("Singles."&amp;ADDRESS(QUOTIENT(MATCH(INDIRECT(ADDRESS(ROW(Q104)-MOD(ROW(Q104)-63,27),COLUMN(Q104),4)),Singles!$A$2:$A$33,0)-1,16)*18+94+$S104,MOD(MATCH(INDIRECT(ADDRESS(ROW(Q104)-MOD(ROW(Q104)-63,27),COLUMN(Q104),4)),Singles!$A$2:$A$33,0)-1,16)+2,4))="","",INDIRECT("Singles."&amp;ADDRESS(QUOTIENT(MATCH(INDIRECT(ADDRESS(ROW(Q104)-MOD(ROW(Q104)-63,27),COLUMN(Q104),4)),Singles!$A$2:$A$33,0)-1,16)*18+94+$S104,MOD(MATCH(INDIRECT(ADDRESS(ROW(Q104)-MOD(ROW(Q104)-63,27),COLUMN(Q104),4)),Singles!$A$2:$A$33,0)-1,16)+2,4)))),"")</f>
        <v/>
      </c>
      <c r="S104" s="5">
        <v>14</v>
      </c>
    </row>
    <row r="105" spans="1:19">
      <c r="A105" s="5">
        <v>15</v>
      </c>
      <c r="B105" s="78" t="str">
        <f ca="1">IF(Singles!$B$36="Yes",IF(ISERROR(MATCH(INDIRECT(ADDRESS(ROW(B105)-MOD(ROW(B105)-63,27),COLUMN(B105),4)),Singles!$A$2:$A$33,0)),"",IF(INDIRECT("Singles."&amp;ADDRESS(QUOTIENT(MATCH(INDIRECT(ADDRESS(ROW(B105)-MOD(ROW(B105)-63,27),COLUMN(B105),4)),Singles!$A$2:$A$33,0)-1,16)*18+94+$S105,MOD(MATCH(INDIRECT(ADDRESS(ROW(B105)-MOD(ROW(B105)-63,27),COLUMN(B105),4)),Singles!$A$2:$A$33,0)-1,16)+2,4))="","",INDIRECT("Singles."&amp;ADDRESS(QUOTIENT(MATCH(INDIRECT(ADDRESS(ROW(B105)-MOD(ROW(B105)-63,27),COLUMN(B105),4)),Singles!$A$2:$A$33,0)-1,16)*18+94+$S105,MOD(MATCH(INDIRECT(ADDRESS(ROW(B105)-MOD(ROW(B105)-63,27),COLUMN(B105),4)),Singles!$A$2:$A$33,0)-1,16)+2,4)))),"")</f>
        <v/>
      </c>
      <c r="C105" s="78" t="str">
        <f ca="1">IF(Singles!$B$36="Yes",IF(ISERROR(MATCH(INDIRECT(ADDRESS(ROW(C105)-MOD(ROW(C105)-63,27),COLUMN(C105),4)),Singles!$A$2:$A$33,0)),"",IF(INDIRECT("Singles."&amp;ADDRESS(QUOTIENT(MATCH(INDIRECT(ADDRESS(ROW(C105)-MOD(ROW(C105)-63,27),COLUMN(C105),4)),Singles!$A$2:$A$33,0)-1,16)*18+94+$S105,MOD(MATCH(INDIRECT(ADDRESS(ROW(C105)-MOD(ROW(C105)-63,27),COLUMN(C105),4)),Singles!$A$2:$A$33,0)-1,16)+2,4))="","",INDIRECT("Singles."&amp;ADDRESS(QUOTIENT(MATCH(INDIRECT(ADDRESS(ROW(C105)-MOD(ROW(C105)-63,27),COLUMN(C105),4)),Singles!$A$2:$A$33,0)-1,16)*18+94+$S105,MOD(MATCH(INDIRECT(ADDRESS(ROW(C105)-MOD(ROW(C105)-63,27),COLUMN(C105),4)),Singles!$A$2:$A$33,0)-1,16)+2,4)))),"")</f>
        <v/>
      </c>
      <c r="D105" s="78" t="str">
        <f ca="1">IF(Singles!$B$36="Yes",IF(ISERROR(MATCH(INDIRECT(ADDRESS(ROW(D105)-MOD(ROW(D105)-63,27),COLUMN(D105),4)),Singles!$A$2:$A$33,0)),"",IF(INDIRECT("Singles."&amp;ADDRESS(QUOTIENT(MATCH(INDIRECT(ADDRESS(ROW(D105)-MOD(ROW(D105)-63,27),COLUMN(D105),4)),Singles!$A$2:$A$33,0)-1,16)*18+94+$S105,MOD(MATCH(INDIRECT(ADDRESS(ROW(D105)-MOD(ROW(D105)-63,27),COLUMN(D105),4)),Singles!$A$2:$A$33,0)-1,16)+2,4))="","",INDIRECT("Singles."&amp;ADDRESS(QUOTIENT(MATCH(INDIRECT(ADDRESS(ROW(D105)-MOD(ROW(D105)-63,27),COLUMN(D105),4)),Singles!$A$2:$A$33,0)-1,16)*18+94+$S105,MOD(MATCH(INDIRECT(ADDRESS(ROW(D105)-MOD(ROW(D105)-63,27),COLUMN(D105),4)),Singles!$A$2:$A$33,0)-1,16)+2,4)))),"")</f>
        <v/>
      </c>
      <c r="E105" s="78" t="str">
        <f ca="1">IF(Singles!$B$36="Yes",IF(ISERROR(MATCH(INDIRECT(ADDRESS(ROW(E105)-MOD(ROW(E105)-63,27),COLUMN(E105),4)),Singles!$A$2:$A$33,0)),"",IF(INDIRECT("Singles."&amp;ADDRESS(QUOTIENT(MATCH(INDIRECT(ADDRESS(ROW(E105)-MOD(ROW(E105)-63,27),COLUMN(E105),4)),Singles!$A$2:$A$33,0)-1,16)*18+94+$S105,MOD(MATCH(INDIRECT(ADDRESS(ROW(E105)-MOD(ROW(E105)-63,27),COLUMN(E105),4)),Singles!$A$2:$A$33,0)-1,16)+2,4))="","",INDIRECT("Singles."&amp;ADDRESS(QUOTIENT(MATCH(INDIRECT(ADDRESS(ROW(E105)-MOD(ROW(E105)-63,27),COLUMN(E105),4)),Singles!$A$2:$A$33,0)-1,16)*18+94+$S105,MOD(MATCH(INDIRECT(ADDRESS(ROW(E105)-MOD(ROW(E105)-63,27),COLUMN(E105),4)),Singles!$A$2:$A$33,0)-1,16)+2,4)))),"")</f>
        <v/>
      </c>
      <c r="F105" s="78" t="str">
        <f ca="1">IF(Singles!$B$36="Yes",IF(ISERROR(MATCH(INDIRECT(ADDRESS(ROW(F105)-MOD(ROW(F105)-63,27),COLUMN(F105),4)),Singles!$A$2:$A$33,0)),"",IF(INDIRECT("Singles."&amp;ADDRESS(QUOTIENT(MATCH(INDIRECT(ADDRESS(ROW(F105)-MOD(ROW(F105)-63,27),COLUMN(F105),4)),Singles!$A$2:$A$33,0)-1,16)*18+94+$S105,MOD(MATCH(INDIRECT(ADDRESS(ROW(F105)-MOD(ROW(F105)-63,27),COLUMN(F105),4)),Singles!$A$2:$A$33,0)-1,16)+2,4))="","",INDIRECT("Singles."&amp;ADDRESS(QUOTIENT(MATCH(INDIRECT(ADDRESS(ROW(F105)-MOD(ROW(F105)-63,27),COLUMN(F105),4)),Singles!$A$2:$A$33,0)-1,16)*18+94+$S105,MOD(MATCH(INDIRECT(ADDRESS(ROW(F105)-MOD(ROW(F105)-63,27),COLUMN(F105),4)),Singles!$A$2:$A$33,0)-1,16)+2,4)))),"")</f>
        <v/>
      </c>
      <c r="G105" s="78" t="str">
        <f ca="1">IF(Singles!$B$36="Yes",IF(ISERROR(MATCH(INDIRECT(ADDRESS(ROW(G105)-MOD(ROW(G105)-63,27),COLUMN(G105),4)),Singles!$A$2:$A$33,0)),"",IF(INDIRECT("Singles."&amp;ADDRESS(QUOTIENT(MATCH(INDIRECT(ADDRESS(ROW(G105)-MOD(ROW(G105)-63,27),COLUMN(G105),4)),Singles!$A$2:$A$33,0)-1,16)*18+94+$S105,MOD(MATCH(INDIRECT(ADDRESS(ROW(G105)-MOD(ROW(G105)-63,27),COLUMN(G105),4)),Singles!$A$2:$A$33,0)-1,16)+2,4))="","",INDIRECT("Singles."&amp;ADDRESS(QUOTIENT(MATCH(INDIRECT(ADDRESS(ROW(G105)-MOD(ROW(G105)-63,27),COLUMN(G105),4)),Singles!$A$2:$A$33,0)-1,16)*18+94+$S105,MOD(MATCH(INDIRECT(ADDRESS(ROW(G105)-MOD(ROW(G105)-63,27),COLUMN(G105),4)),Singles!$A$2:$A$33,0)-1,16)+2,4)))),"")</f>
        <v/>
      </c>
      <c r="H105" s="78" t="str">
        <f ca="1">IF(Singles!$B$36="Yes",IF(ISERROR(MATCH(INDIRECT(ADDRESS(ROW(H105)-MOD(ROW(H105)-63,27),COLUMN(H105),4)),Singles!$A$2:$A$33,0)),"",IF(INDIRECT("Singles."&amp;ADDRESS(QUOTIENT(MATCH(INDIRECT(ADDRESS(ROW(H105)-MOD(ROW(H105)-63,27),COLUMN(H105),4)),Singles!$A$2:$A$33,0)-1,16)*18+94+$S105,MOD(MATCH(INDIRECT(ADDRESS(ROW(H105)-MOD(ROW(H105)-63,27),COLUMN(H105),4)),Singles!$A$2:$A$33,0)-1,16)+2,4))="","",INDIRECT("Singles."&amp;ADDRESS(QUOTIENT(MATCH(INDIRECT(ADDRESS(ROW(H105)-MOD(ROW(H105)-63,27),COLUMN(H105),4)),Singles!$A$2:$A$33,0)-1,16)*18+94+$S105,MOD(MATCH(INDIRECT(ADDRESS(ROW(H105)-MOD(ROW(H105)-63,27),COLUMN(H105),4)),Singles!$A$2:$A$33,0)-1,16)+2,4)))),"")</f>
        <v/>
      </c>
      <c r="I105" s="78" t="str">
        <f ca="1">IF(Singles!$B$36="Yes",IF(ISERROR(MATCH(INDIRECT(ADDRESS(ROW(I105)-MOD(ROW(I105)-63,27),COLUMN(I105),4)),Singles!$A$2:$A$33,0)),"",IF(INDIRECT("Singles."&amp;ADDRESS(QUOTIENT(MATCH(INDIRECT(ADDRESS(ROW(I105)-MOD(ROW(I105)-63,27),COLUMN(I105),4)),Singles!$A$2:$A$33,0)-1,16)*18+94+$S105,MOD(MATCH(INDIRECT(ADDRESS(ROW(I105)-MOD(ROW(I105)-63,27),COLUMN(I105),4)),Singles!$A$2:$A$33,0)-1,16)+2,4))="","",INDIRECT("Singles."&amp;ADDRESS(QUOTIENT(MATCH(INDIRECT(ADDRESS(ROW(I105)-MOD(ROW(I105)-63,27),COLUMN(I105),4)),Singles!$A$2:$A$33,0)-1,16)*18+94+$S105,MOD(MATCH(INDIRECT(ADDRESS(ROW(I105)-MOD(ROW(I105)-63,27),COLUMN(I105),4)),Singles!$A$2:$A$33,0)-1,16)+2,4)))),"")</f>
        <v/>
      </c>
      <c r="J105" s="78" t="str">
        <f ca="1">IF(Singles!$B$36="Yes",IF(ISERROR(MATCH(INDIRECT(ADDRESS(ROW(J105)-MOD(ROW(J105)-63,27),COLUMN(J105),4)),Singles!$A$2:$A$33,0)),"",IF(INDIRECT("Singles."&amp;ADDRESS(QUOTIENT(MATCH(INDIRECT(ADDRESS(ROW(J105)-MOD(ROW(J105)-63,27),COLUMN(J105),4)),Singles!$A$2:$A$33,0)-1,16)*18+94+$S105,MOD(MATCH(INDIRECT(ADDRESS(ROW(J105)-MOD(ROW(J105)-63,27),COLUMN(J105),4)),Singles!$A$2:$A$33,0)-1,16)+2,4))="","",INDIRECT("Singles."&amp;ADDRESS(QUOTIENT(MATCH(INDIRECT(ADDRESS(ROW(J105)-MOD(ROW(J105)-63,27),COLUMN(J105),4)),Singles!$A$2:$A$33,0)-1,16)*18+94+$S105,MOD(MATCH(INDIRECT(ADDRESS(ROW(J105)-MOD(ROW(J105)-63,27),COLUMN(J105),4)),Singles!$A$2:$A$33,0)-1,16)+2,4)))),"")</f>
        <v/>
      </c>
      <c r="K105" s="78" t="str">
        <f ca="1">IF(Singles!$B$36="Yes",IF(ISERROR(MATCH(INDIRECT(ADDRESS(ROW(K105)-MOD(ROW(K105)-63,27),COLUMN(K105),4)),Singles!$A$2:$A$33,0)),"",IF(INDIRECT("Singles."&amp;ADDRESS(QUOTIENT(MATCH(INDIRECT(ADDRESS(ROW(K105)-MOD(ROW(K105)-63,27),COLUMN(K105),4)),Singles!$A$2:$A$33,0)-1,16)*18+94+$S105,MOD(MATCH(INDIRECT(ADDRESS(ROW(K105)-MOD(ROW(K105)-63,27),COLUMN(K105),4)),Singles!$A$2:$A$33,0)-1,16)+2,4))="","",INDIRECT("Singles."&amp;ADDRESS(QUOTIENT(MATCH(INDIRECT(ADDRESS(ROW(K105)-MOD(ROW(K105)-63,27),COLUMN(K105),4)),Singles!$A$2:$A$33,0)-1,16)*18+94+$S105,MOD(MATCH(INDIRECT(ADDRESS(ROW(K105)-MOD(ROW(K105)-63,27),COLUMN(K105),4)),Singles!$A$2:$A$33,0)-1,16)+2,4)))),"")</f>
        <v/>
      </c>
      <c r="L105" s="78" t="str">
        <f ca="1">IF(Singles!$B$36="Yes",IF(ISERROR(MATCH(INDIRECT(ADDRESS(ROW(L105)-MOD(ROW(L105)-63,27),COLUMN(L105),4)),Singles!$A$2:$A$33,0)),"",IF(INDIRECT("Singles."&amp;ADDRESS(QUOTIENT(MATCH(INDIRECT(ADDRESS(ROW(L105)-MOD(ROW(L105)-63,27),COLUMN(L105),4)),Singles!$A$2:$A$33,0)-1,16)*18+94+$S105,MOD(MATCH(INDIRECT(ADDRESS(ROW(L105)-MOD(ROW(L105)-63,27),COLUMN(L105),4)),Singles!$A$2:$A$33,0)-1,16)+2,4))="","",INDIRECT("Singles."&amp;ADDRESS(QUOTIENT(MATCH(INDIRECT(ADDRESS(ROW(L105)-MOD(ROW(L105)-63,27),COLUMN(L105),4)),Singles!$A$2:$A$33,0)-1,16)*18+94+$S105,MOD(MATCH(INDIRECT(ADDRESS(ROW(L105)-MOD(ROW(L105)-63,27),COLUMN(L105),4)),Singles!$A$2:$A$33,0)-1,16)+2,4)))),"")</f>
        <v/>
      </c>
      <c r="M105" s="78" t="str">
        <f ca="1">IF(Singles!$B$36="Yes",IF(ISERROR(MATCH(INDIRECT(ADDRESS(ROW(M105)-MOD(ROW(M105)-63,27),COLUMN(M105),4)),Singles!$A$2:$A$33,0)),"",IF(INDIRECT("Singles."&amp;ADDRESS(QUOTIENT(MATCH(INDIRECT(ADDRESS(ROW(M105)-MOD(ROW(M105)-63,27),COLUMN(M105),4)),Singles!$A$2:$A$33,0)-1,16)*18+94+$S105,MOD(MATCH(INDIRECT(ADDRESS(ROW(M105)-MOD(ROW(M105)-63,27),COLUMN(M105),4)),Singles!$A$2:$A$33,0)-1,16)+2,4))="","",INDIRECT("Singles."&amp;ADDRESS(QUOTIENT(MATCH(INDIRECT(ADDRESS(ROW(M105)-MOD(ROW(M105)-63,27),COLUMN(M105),4)),Singles!$A$2:$A$33,0)-1,16)*18+94+$S105,MOD(MATCH(INDIRECT(ADDRESS(ROW(M105)-MOD(ROW(M105)-63,27),COLUMN(M105),4)),Singles!$A$2:$A$33,0)-1,16)+2,4)))),"")</f>
        <v/>
      </c>
      <c r="N105" s="78" t="str">
        <f ca="1">IF(Singles!$B$36="Yes",IF(ISERROR(MATCH(INDIRECT(ADDRESS(ROW(N105)-MOD(ROW(N105)-63,27),COLUMN(N105),4)),Singles!$A$2:$A$33,0)),"",IF(INDIRECT("Singles."&amp;ADDRESS(QUOTIENT(MATCH(INDIRECT(ADDRESS(ROW(N105)-MOD(ROW(N105)-63,27),COLUMN(N105),4)),Singles!$A$2:$A$33,0)-1,16)*18+94+$S105,MOD(MATCH(INDIRECT(ADDRESS(ROW(N105)-MOD(ROW(N105)-63,27),COLUMN(N105),4)),Singles!$A$2:$A$33,0)-1,16)+2,4))="","",INDIRECT("Singles."&amp;ADDRESS(QUOTIENT(MATCH(INDIRECT(ADDRESS(ROW(N105)-MOD(ROW(N105)-63,27),COLUMN(N105),4)),Singles!$A$2:$A$33,0)-1,16)*18+94+$S105,MOD(MATCH(INDIRECT(ADDRESS(ROW(N105)-MOD(ROW(N105)-63,27),COLUMN(N105),4)),Singles!$A$2:$A$33,0)-1,16)+2,4)))),"")</f>
        <v/>
      </c>
      <c r="O105" s="78" t="str">
        <f ca="1">IF(Singles!$B$36="Yes",IF(ISERROR(MATCH(INDIRECT(ADDRESS(ROW(O105)-MOD(ROW(O105)-63,27),COLUMN(O105),4)),Singles!$A$2:$A$33,0)),"",IF(INDIRECT("Singles."&amp;ADDRESS(QUOTIENT(MATCH(INDIRECT(ADDRESS(ROW(O105)-MOD(ROW(O105)-63,27),COLUMN(O105),4)),Singles!$A$2:$A$33,0)-1,16)*18+94+$S105,MOD(MATCH(INDIRECT(ADDRESS(ROW(O105)-MOD(ROW(O105)-63,27),COLUMN(O105),4)),Singles!$A$2:$A$33,0)-1,16)+2,4))="","",INDIRECT("Singles."&amp;ADDRESS(QUOTIENT(MATCH(INDIRECT(ADDRESS(ROW(O105)-MOD(ROW(O105)-63,27),COLUMN(O105),4)),Singles!$A$2:$A$33,0)-1,16)*18+94+$S105,MOD(MATCH(INDIRECT(ADDRESS(ROW(O105)-MOD(ROW(O105)-63,27),COLUMN(O105),4)),Singles!$A$2:$A$33,0)-1,16)+2,4)))),"")</f>
        <v/>
      </c>
      <c r="P105" s="78" t="str">
        <f ca="1">IF(Singles!$B$36="Yes",IF(ISERROR(MATCH(INDIRECT(ADDRESS(ROW(P105)-MOD(ROW(P105)-63,27),COLUMN(P105),4)),Singles!$A$2:$A$33,0)),"",IF(INDIRECT("Singles."&amp;ADDRESS(QUOTIENT(MATCH(INDIRECT(ADDRESS(ROW(P105)-MOD(ROW(P105)-63,27),COLUMN(P105),4)),Singles!$A$2:$A$33,0)-1,16)*18+94+$S105,MOD(MATCH(INDIRECT(ADDRESS(ROW(P105)-MOD(ROW(P105)-63,27),COLUMN(P105),4)),Singles!$A$2:$A$33,0)-1,16)+2,4))="","",INDIRECT("Singles."&amp;ADDRESS(QUOTIENT(MATCH(INDIRECT(ADDRESS(ROW(P105)-MOD(ROW(P105)-63,27),COLUMN(P105),4)),Singles!$A$2:$A$33,0)-1,16)*18+94+$S105,MOD(MATCH(INDIRECT(ADDRESS(ROW(P105)-MOD(ROW(P105)-63,27),COLUMN(P105),4)),Singles!$A$2:$A$33,0)-1,16)+2,4)))),"")</f>
        <v/>
      </c>
      <c r="Q105" s="78" t="str">
        <f ca="1">IF(Singles!$B$36="Yes",IF(ISERROR(MATCH(INDIRECT(ADDRESS(ROW(Q105)-MOD(ROW(Q105)-63,27),COLUMN(Q105),4)),Singles!$A$2:$A$33,0)),"",IF(INDIRECT("Singles."&amp;ADDRESS(QUOTIENT(MATCH(INDIRECT(ADDRESS(ROW(Q105)-MOD(ROW(Q105)-63,27),COLUMN(Q105),4)),Singles!$A$2:$A$33,0)-1,16)*18+94+$S105,MOD(MATCH(INDIRECT(ADDRESS(ROW(Q105)-MOD(ROW(Q105)-63,27),COLUMN(Q105),4)),Singles!$A$2:$A$33,0)-1,16)+2,4))="","",INDIRECT("Singles."&amp;ADDRESS(QUOTIENT(MATCH(INDIRECT(ADDRESS(ROW(Q105)-MOD(ROW(Q105)-63,27),COLUMN(Q105),4)),Singles!$A$2:$A$33,0)-1,16)*18+94+$S105,MOD(MATCH(INDIRECT(ADDRESS(ROW(Q105)-MOD(ROW(Q105)-63,27),COLUMN(Q105),4)),Singles!$A$2:$A$33,0)-1,16)+2,4)))),"")</f>
        <v/>
      </c>
      <c r="S105" s="5">
        <v>15</v>
      </c>
    </row>
    <row r="106" spans="1:19">
      <c r="A106" s="5">
        <v>16</v>
      </c>
      <c r="B106" s="78" t="str">
        <f ca="1">IF(Singles!$B$36="Yes",IF(ISERROR(MATCH(INDIRECT(ADDRESS(ROW(B106)-MOD(ROW(B106)-63,27),COLUMN(B106),4)),Singles!$A$2:$A$33,0)),"",IF(INDIRECT("Singles."&amp;ADDRESS(QUOTIENT(MATCH(INDIRECT(ADDRESS(ROW(B106)-MOD(ROW(B106)-63,27),COLUMN(B106),4)),Singles!$A$2:$A$33,0)-1,16)*18+94+$S106,MOD(MATCH(INDIRECT(ADDRESS(ROW(B106)-MOD(ROW(B106)-63,27),COLUMN(B106),4)),Singles!$A$2:$A$33,0)-1,16)+2,4))="","",INDIRECT("Singles."&amp;ADDRESS(QUOTIENT(MATCH(INDIRECT(ADDRESS(ROW(B106)-MOD(ROW(B106)-63,27),COLUMN(B106),4)),Singles!$A$2:$A$33,0)-1,16)*18+94+$S106,MOD(MATCH(INDIRECT(ADDRESS(ROW(B106)-MOD(ROW(B106)-63,27),COLUMN(B106),4)),Singles!$A$2:$A$33,0)-1,16)+2,4)))),"")</f>
        <v/>
      </c>
      <c r="C106" s="78" t="str">
        <f ca="1">IF(Singles!$B$36="Yes",IF(ISERROR(MATCH(INDIRECT(ADDRESS(ROW(C106)-MOD(ROW(C106)-63,27),COLUMN(C106),4)),Singles!$A$2:$A$33,0)),"",IF(INDIRECT("Singles."&amp;ADDRESS(QUOTIENT(MATCH(INDIRECT(ADDRESS(ROW(C106)-MOD(ROW(C106)-63,27),COLUMN(C106),4)),Singles!$A$2:$A$33,0)-1,16)*18+94+$S106,MOD(MATCH(INDIRECT(ADDRESS(ROW(C106)-MOD(ROW(C106)-63,27),COLUMN(C106),4)),Singles!$A$2:$A$33,0)-1,16)+2,4))="","",INDIRECT("Singles."&amp;ADDRESS(QUOTIENT(MATCH(INDIRECT(ADDRESS(ROW(C106)-MOD(ROW(C106)-63,27),COLUMN(C106),4)),Singles!$A$2:$A$33,0)-1,16)*18+94+$S106,MOD(MATCH(INDIRECT(ADDRESS(ROW(C106)-MOD(ROW(C106)-63,27),COLUMN(C106),4)),Singles!$A$2:$A$33,0)-1,16)+2,4)))),"")</f>
        <v/>
      </c>
      <c r="D106" s="78" t="str">
        <f ca="1">IF(Singles!$B$36="Yes",IF(ISERROR(MATCH(INDIRECT(ADDRESS(ROW(D106)-MOD(ROW(D106)-63,27),COLUMN(D106),4)),Singles!$A$2:$A$33,0)),"",IF(INDIRECT("Singles."&amp;ADDRESS(QUOTIENT(MATCH(INDIRECT(ADDRESS(ROW(D106)-MOD(ROW(D106)-63,27),COLUMN(D106),4)),Singles!$A$2:$A$33,0)-1,16)*18+94+$S106,MOD(MATCH(INDIRECT(ADDRESS(ROW(D106)-MOD(ROW(D106)-63,27),COLUMN(D106),4)),Singles!$A$2:$A$33,0)-1,16)+2,4))="","",INDIRECT("Singles."&amp;ADDRESS(QUOTIENT(MATCH(INDIRECT(ADDRESS(ROW(D106)-MOD(ROW(D106)-63,27),COLUMN(D106),4)),Singles!$A$2:$A$33,0)-1,16)*18+94+$S106,MOD(MATCH(INDIRECT(ADDRESS(ROW(D106)-MOD(ROW(D106)-63,27),COLUMN(D106),4)),Singles!$A$2:$A$33,0)-1,16)+2,4)))),"")</f>
        <v/>
      </c>
      <c r="E106" s="78" t="str">
        <f ca="1">IF(Singles!$B$36="Yes",IF(ISERROR(MATCH(INDIRECT(ADDRESS(ROW(E106)-MOD(ROW(E106)-63,27),COLUMN(E106),4)),Singles!$A$2:$A$33,0)),"",IF(INDIRECT("Singles."&amp;ADDRESS(QUOTIENT(MATCH(INDIRECT(ADDRESS(ROW(E106)-MOD(ROW(E106)-63,27),COLUMN(E106),4)),Singles!$A$2:$A$33,0)-1,16)*18+94+$S106,MOD(MATCH(INDIRECT(ADDRESS(ROW(E106)-MOD(ROW(E106)-63,27),COLUMN(E106),4)),Singles!$A$2:$A$33,0)-1,16)+2,4))="","",INDIRECT("Singles."&amp;ADDRESS(QUOTIENT(MATCH(INDIRECT(ADDRESS(ROW(E106)-MOD(ROW(E106)-63,27),COLUMN(E106),4)),Singles!$A$2:$A$33,0)-1,16)*18+94+$S106,MOD(MATCH(INDIRECT(ADDRESS(ROW(E106)-MOD(ROW(E106)-63,27),COLUMN(E106),4)),Singles!$A$2:$A$33,0)-1,16)+2,4)))),"")</f>
        <v/>
      </c>
      <c r="F106" s="78" t="str">
        <f ca="1">IF(Singles!$B$36="Yes",IF(ISERROR(MATCH(INDIRECT(ADDRESS(ROW(F106)-MOD(ROW(F106)-63,27),COLUMN(F106),4)),Singles!$A$2:$A$33,0)),"",IF(INDIRECT("Singles."&amp;ADDRESS(QUOTIENT(MATCH(INDIRECT(ADDRESS(ROW(F106)-MOD(ROW(F106)-63,27),COLUMN(F106),4)),Singles!$A$2:$A$33,0)-1,16)*18+94+$S106,MOD(MATCH(INDIRECT(ADDRESS(ROW(F106)-MOD(ROW(F106)-63,27),COLUMN(F106),4)),Singles!$A$2:$A$33,0)-1,16)+2,4))="","",INDIRECT("Singles."&amp;ADDRESS(QUOTIENT(MATCH(INDIRECT(ADDRESS(ROW(F106)-MOD(ROW(F106)-63,27),COLUMN(F106),4)),Singles!$A$2:$A$33,0)-1,16)*18+94+$S106,MOD(MATCH(INDIRECT(ADDRESS(ROW(F106)-MOD(ROW(F106)-63,27),COLUMN(F106),4)),Singles!$A$2:$A$33,0)-1,16)+2,4)))),"")</f>
        <v/>
      </c>
      <c r="G106" s="78" t="str">
        <f ca="1">IF(Singles!$B$36="Yes",IF(ISERROR(MATCH(INDIRECT(ADDRESS(ROW(G106)-MOD(ROW(G106)-63,27),COLUMN(G106),4)),Singles!$A$2:$A$33,0)),"",IF(INDIRECT("Singles."&amp;ADDRESS(QUOTIENT(MATCH(INDIRECT(ADDRESS(ROW(G106)-MOD(ROW(G106)-63,27),COLUMN(G106),4)),Singles!$A$2:$A$33,0)-1,16)*18+94+$S106,MOD(MATCH(INDIRECT(ADDRESS(ROW(G106)-MOD(ROW(G106)-63,27),COLUMN(G106),4)),Singles!$A$2:$A$33,0)-1,16)+2,4))="","",INDIRECT("Singles."&amp;ADDRESS(QUOTIENT(MATCH(INDIRECT(ADDRESS(ROW(G106)-MOD(ROW(G106)-63,27),COLUMN(G106),4)),Singles!$A$2:$A$33,0)-1,16)*18+94+$S106,MOD(MATCH(INDIRECT(ADDRESS(ROW(G106)-MOD(ROW(G106)-63,27),COLUMN(G106),4)),Singles!$A$2:$A$33,0)-1,16)+2,4)))),"")</f>
        <v/>
      </c>
      <c r="H106" s="78" t="str">
        <f ca="1">IF(Singles!$B$36="Yes",IF(ISERROR(MATCH(INDIRECT(ADDRESS(ROW(H106)-MOD(ROW(H106)-63,27),COLUMN(H106),4)),Singles!$A$2:$A$33,0)),"",IF(INDIRECT("Singles."&amp;ADDRESS(QUOTIENT(MATCH(INDIRECT(ADDRESS(ROW(H106)-MOD(ROW(H106)-63,27),COLUMN(H106),4)),Singles!$A$2:$A$33,0)-1,16)*18+94+$S106,MOD(MATCH(INDIRECT(ADDRESS(ROW(H106)-MOD(ROW(H106)-63,27),COLUMN(H106),4)),Singles!$A$2:$A$33,0)-1,16)+2,4))="","",INDIRECT("Singles."&amp;ADDRESS(QUOTIENT(MATCH(INDIRECT(ADDRESS(ROW(H106)-MOD(ROW(H106)-63,27),COLUMN(H106),4)),Singles!$A$2:$A$33,0)-1,16)*18+94+$S106,MOD(MATCH(INDIRECT(ADDRESS(ROW(H106)-MOD(ROW(H106)-63,27),COLUMN(H106),4)),Singles!$A$2:$A$33,0)-1,16)+2,4)))),"")</f>
        <v/>
      </c>
      <c r="I106" s="78" t="str">
        <f ca="1">IF(Singles!$B$36="Yes",IF(ISERROR(MATCH(INDIRECT(ADDRESS(ROW(I106)-MOD(ROW(I106)-63,27),COLUMN(I106),4)),Singles!$A$2:$A$33,0)),"",IF(INDIRECT("Singles."&amp;ADDRESS(QUOTIENT(MATCH(INDIRECT(ADDRESS(ROW(I106)-MOD(ROW(I106)-63,27),COLUMN(I106),4)),Singles!$A$2:$A$33,0)-1,16)*18+94+$S106,MOD(MATCH(INDIRECT(ADDRESS(ROW(I106)-MOD(ROW(I106)-63,27),COLUMN(I106),4)),Singles!$A$2:$A$33,0)-1,16)+2,4))="","",INDIRECT("Singles."&amp;ADDRESS(QUOTIENT(MATCH(INDIRECT(ADDRESS(ROW(I106)-MOD(ROW(I106)-63,27),COLUMN(I106),4)),Singles!$A$2:$A$33,0)-1,16)*18+94+$S106,MOD(MATCH(INDIRECT(ADDRESS(ROW(I106)-MOD(ROW(I106)-63,27),COLUMN(I106),4)),Singles!$A$2:$A$33,0)-1,16)+2,4)))),"")</f>
        <v/>
      </c>
      <c r="J106" s="78" t="str">
        <f ca="1">IF(Singles!$B$36="Yes",IF(ISERROR(MATCH(INDIRECT(ADDRESS(ROW(J106)-MOD(ROW(J106)-63,27),COLUMN(J106),4)),Singles!$A$2:$A$33,0)),"",IF(INDIRECT("Singles."&amp;ADDRESS(QUOTIENT(MATCH(INDIRECT(ADDRESS(ROW(J106)-MOD(ROW(J106)-63,27),COLUMN(J106),4)),Singles!$A$2:$A$33,0)-1,16)*18+94+$S106,MOD(MATCH(INDIRECT(ADDRESS(ROW(J106)-MOD(ROW(J106)-63,27),COLUMN(J106),4)),Singles!$A$2:$A$33,0)-1,16)+2,4))="","",INDIRECT("Singles."&amp;ADDRESS(QUOTIENT(MATCH(INDIRECT(ADDRESS(ROW(J106)-MOD(ROW(J106)-63,27),COLUMN(J106),4)),Singles!$A$2:$A$33,0)-1,16)*18+94+$S106,MOD(MATCH(INDIRECT(ADDRESS(ROW(J106)-MOD(ROW(J106)-63,27),COLUMN(J106),4)),Singles!$A$2:$A$33,0)-1,16)+2,4)))),"")</f>
        <v/>
      </c>
      <c r="K106" s="78" t="str">
        <f ca="1">IF(Singles!$B$36="Yes",IF(ISERROR(MATCH(INDIRECT(ADDRESS(ROW(K106)-MOD(ROW(K106)-63,27),COLUMN(K106),4)),Singles!$A$2:$A$33,0)),"",IF(INDIRECT("Singles."&amp;ADDRESS(QUOTIENT(MATCH(INDIRECT(ADDRESS(ROW(K106)-MOD(ROW(K106)-63,27),COLUMN(K106),4)),Singles!$A$2:$A$33,0)-1,16)*18+94+$S106,MOD(MATCH(INDIRECT(ADDRESS(ROW(K106)-MOD(ROW(K106)-63,27),COLUMN(K106),4)),Singles!$A$2:$A$33,0)-1,16)+2,4))="","",INDIRECT("Singles."&amp;ADDRESS(QUOTIENT(MATCH(INDIRECT(ADDRESS(ROW(K106)-MOD(ROW(K106)-63,27),COLUMN(K106),4)),Singles!$A$2:$A$33,0)-1,16)*18+94+$S106,MOD(MATCH(INDIRECT(ADDRESS(ROW(K106)-MOD(ROW(K106)-63,27),COLUMN(K106),4)),Singles!$A$2:$A$33,0)-1,16)+2,4)))),"")</f>
        <v/>
      </c>
      <c r="L106" s="78" t="str">
        <f ca="1">IF(Singles!$B$36="Yes",IF(ISERROR(MATCH(INDIRECT(ADDRESS(ROW(L106)-MOD(ROW(L106)-63,27),COLUMN(L106),4)),Singles!$A$2:$A$33,0)),"",IF(INDIRECT("Singles."&amp;ADDRESS(QUOTIENT(MATCH(INDIRECT(ADDRESS(ROW(L106)-MOD(ROW(L106)-63,27),COLUMN(L106),4)),Singles!$A$2:$A$33,0)-1,16)*18+94+$S106,MOD(MATCH(INDIRECT(ADDRESS(ROW(L106)-MOD(ROW(L106)-63,27),COLUMN(L106),4)),Singles!$A$2:$A$33,0)-1,16)+2,4))="","",INDIRECT("Singles."&amp;ADDRESS(QUOTIENT(MATCH(INDIRECT(ADDRESS(ROW(L106)-MOD(ROW(L106)-63,27),COLUMN(L106),4)),Singles!$A$2:$A$33,0)-1,16)*18+94+$S106,MOD(MATCH(INDIRECT(ADDRESS(ROW(L106)-MOD(ROW(L106)-63,27),COLUMN(L106),4)),Singles!$A$2:$A$33,0)-1,16)+2,4)))),"")</f>
        <v/>
      </c>
      <c r="M106" s="78" t="str">
        <f ca="1">IF(Singles!$B$36="Yes",IF(ISERROR(MATCH(INDIRECT(ADDRESS(ROW(M106)-MOD(ROW(M106)-63,27),COLUMN(M106),4)),Singles!$A$2:$A$33,0)),"",IF(INDIRECT("Singles."&amp;ADDRESS(QUOTIENT(MATCH(INDIRECT(ADDRESS(ROW(M106)-MOD(ROW(M106)-63,27),COLUMN(M106),4)),Singles!$A$2:$A$33,0)-1,16)*18+94+$S106,MOD(MATCH(INDIRECT(ADDRESS(ROW(M106)-MOD(ROW(M106)-63,27),COLUMN(M106),4)),Singles!$A$2:$A$33,0)-1,16)+2,4))="","",INDIRECT("Singles."&amp;ADDRESS(QUOTIENT(MATCH(INDIRECT(ADDRESS(ROW(M106)-MOD(ROW(M106)-63,27),COLUMN(M106),4)),Singles!$A$2:$A$33,0)-1,16)*18+94+$S106,MOD(MATCH(INDIRECT(ADDRESS(ROW(M106)-MOD(ROW(M106)-63,27),COLUMN(M106),4)),Singles!$A$2:$A$33,0)-1,16)+2,4)))),"")</f>
        <v/>
      </c>
      <c r="N106" s="78" t="str">
        <f ca="1">IF(Singles!$B$36="Yes",IF(ISERROR(MATCH(INDIRECT(ADDRESS(ROW(N106)-MOD(ROW(N106)-63,27),COLUMN(N106),4)),Singles!$A$2:$A$33,0)),"",IF(INDIRECT("Singles."&amp;ADDRESS(QUOTIENT(MATCH(INDIRECT(ADDRESS(ROW(N106)-MOD(ROW(N106)-63,27),COLUMN(N106),4)),Singles!$A$2:$A$33,0)-1,16)*18+94+$S106,MOD(MATCH(INDIRECT(ADDRESS(ROW(N106)-MOD(ROW(N106)-63,27),COLUMN(N106),4)),Singles!$A$2:$A$33,0)-1,16)+2,4))="","",INDIRECT("Singles."&amp;ADDRESS(QUOTIENT(MATCH(INDIRECT(ADDRESS(ROW(N106)-MOD(ROW(N106)-63,27),COLUMN(N106),4)),Singles!$A$2:$A$33,0)-1,16)*18+94+$S106,MOD(MATCH(INDIRECT(ADDRESS(ROW(N106)-MOD(ROW(N106)-63,27),COLUMN(N106),4)),Singles!$A$2:$A$33,0)-1,16)+2,4)))),"")</f>
        <v/>
      </c>
      <c r="O106" s="78" t="str">
        <f ca="1">IF(Singles!$B$36="Yes",IF(ISERROR(MATCH(INDIRECT(ADDRESS(ROW(O106)-MOD(ROW(O106)-63,27),COLUMN(O106),4)),Singles!$A$2:$A$33,0)),"",IF(INDIRECT("Singles."&amp;ADDRESS(QUOTIENT(MATCH(INDIRECT(ADDRESS(ROW(O106)-MOD(ROW(O106)-63,27),COLUMN(O106),4)),Singles!$A$2:$A$33,0)-1,16)*18+94+$S106,MOD(MATCH(INDIRECT(ADDRESS(ROW(O106)-MOD(ROW(O106)-63,27),COLUMN(O106),4)),Singles!$A$2:$A$33,0)-1,16)+2,4))="","",INDIRECT("Singles."&amp;ADDRESS(QUOTIENT(MATCH(INDIRECT(ADDRESS(ROW(O106)-MOD(ROW(O106)-63,27),COLUMN(O106),4)),Singles!$A$2:$A$33,0)-1,16)*18+94+$S106,MOD(MATCH(INDIRECT(ADDRESS(ROW(O106)-MOD(ROW(O106)-63,27),COLUMN(O106),4)),Singles!$A$2:$A$33,0)-1,16)+2,4)))),"")</f>
        <v/>
      </c>
      <c r="P106" s="78" t="str">
        <f ca="1">IF(Singles!$B$36="Yes",IF(ISERROR(MATCH(INDIRECT(ADDRESS(ROW(P106)-MOD(ROW(P106)-63,27),COLUMN(P106),4)),Singles!$A$2:$A$33,0)),"",IF(INDIRECT("Singles."&amp;ADDRESS(QUOTIENT(MATCH(INDIRECT(ADDRESS(ROW(P106)-MOD(ROW(P106)-63,27),COLUMN(P106),4)),Singles!$A$2:$A$33,0)-1,16)*18+94+$S106,MOD(MATCH(INDIRECT(ADDRESS(ROW(P106)-MOD(ROW(P106)-63,27),COLUMN(P106),4)),Singles!$A$2:$A$33,0)-1,16)+2,4))="","",INDIRECT("Singles."&amp;ADDRESS(QUOTIENT(MATCH(INDIRECT(ADDRESS(ROW(P106)-MOD(ROW(P106)-63,27),COLUMN(P106),4)),Singles!$A$2:$A$33,0)-1,16)*18+94+$S106,MOD(MATCH(INDIRECT(ADDRESS(ROW(P106)-MOD(ROW(P106)-63,27),COLUMN(P106),4)),Singles!$A$2:$A$33,0)-1,16)+2,4)))),"")</f>
        <v/>
      </c>
      <c r="Q106" s="78" t="str">
        <f ca="1">IF(Singles!$B$36="Yes",IF(ISERROR(MATCH(INDIRECT(ADDRESS(ROW(Q106)-MOD(ROW(Q106)-63,27),COLUMN(Q106),4)),Singles!$A$2:$A$33,0)),"",IF(INDIRECT("Singles."&amp;ADDRESS(QUOTIENT(MATCH(INDIRECT(ADDRESS(ROW(Q106)-MOD(ROW(Q106)-63,27),COLUMN(Q106),4)),Singles!$A$2:$A$33,0)-1,16)*18+94+$S106,MOD(MATCH(INDIRECT(ADDRESS(ROW(Q106)-MOD(ROW(Q106)-63,27),COLUMN(Q106),4)),Singles!$A$2:$A$33,0)-1,16)+2,4))="","",INDIRECT("Singles."&amp;ADDRESS(QUOTIENT(MATCH(INDIRECT(ADDRESS(ROW(Q106)-MOD(ROW(Q106)-63,27),COLUMN(Q106),4)),Singles!$A$2:$A$33,0)-1,16)*18+94+$S106,MOD(MATCH(INDIRECT(ADDRESS(ROW(Q106)-MOD(ROW(Q106)-63,27),COLUMN(Q106),4)),Singles!$A$2:$A$33,0)-1,16)+2,4)))),"")</f>
        <v/>
      </c>
      <c r="S106" s="5">
        <v>16</v>
      </c>
    </row>
    <row r="107" spans="1:19">
      <c r="A107" s="5">
        <v>17</v>
      </c>
      <c r="B107" s="78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78"/>
    </row>
    <row r="108" spans="1:19">
      <c r="A108" s="5">
        <v>18</v>
      </c>
      <c r="B108" s="78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78"/>
    </row>
    <row r="109" spans="1:19">
      <c r="A109" s="5">
        <v>19</v>
      </c>
      <c r="B109" s="78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78"/>
    </row>
    <row r="110" spans="1:19">
      <c r="A110" s="5">
        <v>20</v>
      </c>
      <c r="B110" s="78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78"/>
    </row>
    <row r="111" spans="1:19">
      <c r="A111" s="5">
        <v>21</v>
      </c>
      <c r="B111" s="78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78"/>
    </row>
    <row r="112" spans="1:19">
      <c r="A112" s="5">
        <v>22</v>
      </c>
      <c r="B112" s="78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78"/>
    </row>
    <row r="113" spans="1:17">
      <c r="A113" s="5">
        <v>23</v>
      </c>
      <c r="B113" s="78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78"/>
    </row>
    <row r="114" spans="1:17">
      <c r="A114" s="5">
        <v>24</v>
      </c>
      <c r="B114" s="78"/>
      <c r="C114" s="78"/>
      <c r="D114" s="78"/>
      <c r="E114" s="78"/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78"/>
    </row>
  </sheetData>
  <sheetProtection selectLockedCells="1" selectUnlockedCells="1"/>
  <mergeCells count="1">
    <mergeCell ref="H1:I1"/>
  </mergeCells>
  <dataValidations count="3">
    <dataValidation type="list" operator="equal" allowBlank="1" sqref="D25">
      <formula1>"Yes,No"</formula1>
      <formula2>0</formula2>
    </dataValidation>
    <dataValidation type="list" operator="equal" allowBlank="1" sqref="J2:J17">
      <formula1>"SR,PTS"</formula1>
      <formula2>0</formula2>
    </dataValidation>
    <dataValidation type="list" operator="equal" allowBlank="1" sqref="D23">
      <formula1>"Yes,No"</formula1>
      <formula2>0</formula2>
    </dataValidation>
  </dataValidation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 r:id="rId1"/>
  <headerFooter alignWithMargins="0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B2:J28"/>
  <sheetViews>
    <sheetView workbookViewId="0">
      <selection activeCell="I4" sqref="I4"/>
    </sheetView>
  </sheetViews>
  <sheetFormatPr baseColWidth="10" defaultColWidth="11.5703125" defaultRowHeight="12.75"/>
  <cols>
    <col min="1" max="2" width="11.5703125" style="1"/>
    <col min="3" max="3" width="6.7109375" style="1" customWidth="1"/>
    <col min="4" max="4" width="11.5703125" style="1"/>
    <col min="5" max="5" width="6.42578125" style="1" customWidth="1"/>
    <col min="6" max="7" width="11.5703125" style="1"/>
    <col min="8" max="8" width="6" style="1" customWidth="1"/>
    <col min="9" max="9" width="11.5703125" style="1"/>
    <col min="10" max="10" width="6.42578125" style="1" customWidth="1"/>
    <col min="11" max="16384" width="11.5703125" style="1"/>
  </cols>
  <sheetData>
    <row r="2" spans="2:10" ht="15.75">
      <c r="D2" s="80" t="s">
        <v>115</v>
      </c>
    </row>
    <row r="3" spans="2:10">
      <c r="B3" s="81" t="s">
        <v>116</v>
      </c>
      <c r="G3" s="81" t="s">
        <v>117</v>
      </c>
    </row>
    <row r="4" spans="2:10">
      <c r="B4" s="82" t="str">
        <f>Singles!E3</f>
        <v>Travaglia</v>
      </c>
      <c r="C4" s="83">
        <f>COUNTIF(Diffs!$G$18:$G$600,B4)</f>
        <v>4</v>
      </c>
      <c r="D4" s="84" t="str">
        <f>Singles!F3</f>
        <v>Ghem</v>
      </c>
      <c r="E4" s="85">
        <f>COUNTIF(Diffs!$G$18:$G$600,D4)</f>
        <v>8</v>
      </c>
      <c r="F4" s="86"/>
      <c r="G4" s="82" t="str">
        <f>Doubles!H2</f>
        <v>Travaglia</v>
      </c>
      <c r="H4" s="83">
        <f ca="1">COUNTIF(DDDiffs!$G$25:$G$900,G4)</f>
        <v>2</v>
      </c>
      <c r="I4" s="84" t="str">
        <f>Doubles!I2</f>
        <v>Ghem</v>
      </c>
      <c r="J4" s="85">
        <f ca="1">COUNTIF(DDDiffs!$G$25:$G$900,I4)</f>
        <v>5</v>
      </c>
    </row>
    <row r="5" spans="2:10">
      <c r="B5" s="87" t="str">
        <f>Singles!E4</f>
        <v>Machado</v>
      </c>
      <c r="C5" s="88">
        <f>COUNTIF(Diffs!$G$18:$G$600,B5)</f>
        <v>12</v>
      </c>
      <c r="D5" s="89" t="str">
        <f>Singles!F4</f>
        <v>Camilo</v>
      </c>
      <c r="E5" s="90">
        <f>COUNTIF(Diffs!$G$18:$G$600,D5)</f>
        <v>0</v>
      </c>
      <c r="F5" s="86"/>
      <c r="G5" s="87" t="str">
        <f>Doubles!H3</f>
        <v>Machado</v>
      </c>
      <c r="H5" s="88">
        <f ca="1">COUNTIF(DDDiffs!$G$25:$G$900,G5)</f>
        <v>7</v>
      </c>
      <c r="I5" s="89" t="str">
        <f>Doubles!I3</f>
        <v>Camilo</v>
      </c>
      <c r="J5" s="90">
        <f ca="1">COUNTIF(DDDiffs!$G$25:$G$900,I5)</f>
        <v>0</v>
      </c>
    </row>
    <row r="6" spans="2:10">
      <c r="B6" s="87" t="str">
        <f>Singles!E5</f>
        <v>Junqueira</v>
      </c>
      <c r="C6" s="88">
        <f>COUNTIF(Diffs!$G$18:$G$600,B6)</f>
        <v>12</v>
      </c>
      <c r="D6" s="89" t="str">
        <f>Singles!F5</f>
        <v>Tsuchiya</v>
      </c>
      <c r="E6" s="90">
        <f>COUNTIF(Diffs!$G$18:$G$600,D6)</f>
        <v>0</v>
      </c>
      <c r="F6" s="86"/>
      <c r="G6" s="87" t="str">
        <f>Doubles!H4</f>
        <v>Junqueira</v>
      </c>
      <c r="H6" s="88">
        <f ca="1">COUNTIF(DDDiffs!$G$25:$G$900,G6)</f>
        <v>7</v>
      </c>
      <c r="I6" s="89" t="str">
        <f>Doubles!I4</f>
        <v>Tsuchiya</v>
      </c>
      <c r="J6" s="90">
        <f ca="1">COUNTIF(DDDiffs!$G$25:$G$900,I6)</f>
        <v>0</v>
      </c>
    </row>
    <row r="7" spans="2:10">
      <c r="B7" s="87" t="str">
        <f>Singles!E6</f>
        <v>Laranja</v>
      </c>
      <c r="C7" s="88">
        <f>COUNTIF(Diffs!$G$18:$G$600,B7)</f>
        <v>6</v>
      </c>
      <c r="D7" s="89" t="str">
        <f>Singles!F6</f>
        <v>Gaio</v>
      </c>
      <c r="E7" s="90">
        <f>COUNTIF(Diffs!$G$18:$G$600,D7)</f>
        <v>6</v>
      </c>
      <c r="F7" s="86"/>
      <c r="G7" s="87" t="str">
        <f>Doubles!H5</f>
        <v>Laranja</v>
      </c>
      <c r="H7" s="88">
        <f ca="1">COUNTIF(DDDiffs!$G$25:$G$900,G7)</f>
        <v>3</v>
      </c>
      <c r="I7" s="89" t="str">
        <f>Doubles!I5</f>
        <v>Gaio</v>
      </c>
      <c r="J7" s="90">
        <f ca="1">COUNTIF(DDDiffs!$G$25:$G$900,I7)</f>
        <v>4</v>
      </c>
    </row>
    <row r="8" spans="2:10">
      <c r="B8" s="87" t="str">
        <f>Singles!E7</f>
        <v>PODLIPBIK-CASTILLO</v>
      </c>
      <c r="C8" s="88">
        <f>COUNTIF(Diffs!$G$18:$G$600,B8)</f>
        <v>12</v>
      </c>
      <c r="D8" s="89" t="str">
        <f>Singles!F7</f>
        <v>Yamacita</v>
      </c>
      <c r="E8" s="90">
        <f>COUNTIF(Diffs!$G$18:$G$600,D8)</f>
        <v>0</v>
      </c>
      <c r="F8" s="86"/>
      <c r="G8" s="87" t="str">
        <f>Doubles!H6</f>
        <v>PODLIPBIK-CASTILLO</v>
      </c>
      <c r="H8" s="88">
        <f ca="1">COUNTIF(DDDiffs!$G$25:$G$900,G8)</f>
        <v>7</v>
      </c>
      <c r="I8" s="89" t="str">
        <f>Doubles!I6</f>
        <v>Yamacita</v>
      </c>
      <c r="J8" s="90">
        <f ca="1">COUNTIF(DDDiffs!$G$25:$G$900,I8)</f>
        <v>0</v>
      </c>
    </row>
    <row r="9" spans="2:10">
      <c r="B9" s="87" t="str">
        <f>Singles!E8</f>
        <v>Lindell</v>
      </c>
      <c r="C9" s="88">
        <f>COUNTIF(Diffs!$G$18:$G$600,B9)</f>
        <v>5</v>
      </c>
      <c r="D9" s="89" t="str">
        <f>Singles!F8</f>
        <v>Duran</v>
      </c>
      <c r="E9" s="90">
        <f>COUNTIF(Diffs!$G$18:$G$600,D9)</f>
        <v>7</v>
      </c>
      <c r="F9" s="86"/>
      <c r="G9" s="87" t="str">
        <f>Doubles!H7</f>
        <v>Lindell</v>
      </c>
      <c r="H9" s="88">
        <f ca="1">COUNTIF(DDDiffs!$G$25:$G$900,G9)</f>
        <v>3</v>
      </c>
      <c r="I9" s="89" t="str">
        <f>Doubles!I7</f>
        <v>Duran</v>
      </c>
      <c r="J9" s="90">
        <f ca="1">COUNTIF(DDDiffs!$G$25:$G$900,I9)</f>
        <v>4</v>
      </c>
    </row>
    <row r="10" spans="2:10">
      <c r="B10" s="87" t="str">
        <f>Singles!E9</f>
        <v>Sorgi</v>
      </c>
      <c r="C10" s="88">
        <f>COUNTIF(Diffs!$G$18:$G$600,B10)</f>
        <v>2</v>
      </c>
      <c r="D10" s="89" t="str">
        <f>Singles!F9</f>
        <v>Michon</v>
      </c>
      <c r="E10" s="90">
        <f>COUNTIF(Diffs!$G$18:$G$600,D10)</f>
        <v>10</v>
      </c>
      <c r="F10" s="86"/>
      <c r="G10" s="87" t="str">
        <f>Doubles!H8</f>
        <v>Sorgi</v>
      </c>
      <c r="H10" s="88">
        <f ca="1">COUNTIF(DDDiffs!$G$25:$G$900,G10)</f>
        <v>0</v>
      </c>
      <c r="I10" s="89" t="str">
        <f>Doubles!I8</f>
        <v>Michon</v>
      </c>
      <c r="J10" s="90">
        <f ca="1">COUNTIF(DDDiffs!$G$25:$G$900,I10)</f>
        <v>7</v>
      </c>
    </row>
    <row r="11" spans="2:10">
      <c r="B11" s="87" t="str">
        <f>Singles!E10</f>
        <v>Rios-benitez</v>
      </c>
      <c r="C11" s="88">
        <f>COUNTIF(Diffs!$G$18:$G$600,B11)</f>
        <v>0</v>
      </c>
      <c r="D11" s="89" t="str">
        <f>Singles!F10</f>
        <v>gonzalez</v>
      </c>
      <c r="E11" s="90">
        <f>COUNTIF(Diffs!$G$18:$G$600,D11)</f>
        <v>12</v>
      </c>
      <c r="F11" s="86"/>
      <c r="G11" s="87" t="str">
        <f>Doubles!H9</f>
        <v>Rios-benitez</v>
      </c>
      <c r="H11" s="88">
        <f ca="1">COUNTIF(DDDiffs!$G$25:$G$900,G11)</f>
        <v>0</v>
      </c>
      <c r="I11" s="89" t="str">
        <f>Doubles!I9</f>
        <v>gonzalez</v>
      </c>
      <c r="J11" s="90">
        <f ca="1">COUNTIF(DDDiffs!$G$25:$G$900,I11)</f>
        <v>7</v>
      </c>
    </row>
    <row r="12" spans="2:10">
      <c r="B12" s="87" t="str">
        <f>Singles!E11</f>
        <v>pereira</v>
      </c>
      <c r="C12" s="88">
        <f>COUNTIF(Diffs!$G$18:$G$600,B12)</f>
        <v>12</v>
      </c>
      <c r="D12" s="89" t="str">
        <f>Singles!F11</f>
        <v>oliveira</v>
      </c>
      <c r="E12" s="90">
        <f>COUNTIF(Diffs!$G$18:$G$600,D12)</f>
        <v>0</v>
      </c>
      <c r="F12" s="86"/>
      <c r="G12" s="87" t="str">
        <f>Doubles!H10</f>
        <v>pereira</v>
      </c>
      <c r="H12" s="88">
        <f ca="1">COUNTIF(DDDiffs!$G$25:$G$900,G12)</f>
        <v>7</v>
      </c>
      <c r="I12" s="89" t="str">
        <f>Doubles!I10</f>
        <v>oliveira</v>
      </c>
      <c r="J12" s="90">
        <f ca="1">COUNTIF(DDDiffs!$G$25:$G$900,I12)</f>
        <v>0</v>
      </c>
    </row>
    <row r="13" spans="2:10">
      <c r="B13" s="87" t="str">
        <f>Singles!E12</f>
        <v>matos</v>
      </c>
      <c r="C13" s="88">
        <f>COUNTIF(Diffs!$G$18:$G$600,B13)</f>
        <v>5</v>
      </c>
      <c r="D13" s="89" t="str">
        <f>Singles!F12</f>
        <v>collinari</v>
      </c>
      <c r="E13" s="90">
        <f>COUNTIF(Diffs!$G$18:$G$600,D13)</f>
        <v>7</v>
      </c>
      <c r="F13" s="86"/>
      <c r="G13" s="87" t="str">
        <f>Doubles!H11</f>
        <v>matos</v>
      </c>
      <c r="H13" s="88">
        <f ca="1">COUNTIF(DDDiffs!$G$25:$G$900,G13)</f>
        <v>2</v>
      </c>
      <c r="I13" s="89" t="str">
        <f>Doubles!I11</f>
        <v>collinari</v>
      </c>
      <c r="J13" s="90">
        <f ca="1">COUNTIF(DDDiffs!$G$25:$G$900,I13)</f>
        <v>5</v>
      </c>
    </row>
    <row r="14" spans="2:10">
      <c r="B14" s="87" t="str">
        <f>Singles!E13</f>
        <v>giner</v>
      </c>
      <c r="C14" s="88">
        <f>COUNTIF(Diffs!$G$18:$G$600,B14)</f>
        <v>11</v>
      </c>
      <c r="D14" s="89" t="str">
        <f>Singles!F13</f>
        <v>trinker</v>
      </c>
      <c r="E14" s="90">
        <f>COUNTIF(Diffs!$G$18:$G$600,D14)</f>
        <v>1</v>
      </c>
      <c r="F14" s="86"/>
      <c r="G14" s="87" t="str">
        <f>Doubles!H12</f>
        <v>giner</v>
      </c>
      <c r="H14" s="88">
        <f ca="1">COUNTIF(DDDiffs!$G$25:$G$900,G14)</f>
        <v>7</v>
      </c>
      <c r="I14" s="89" t="str">
        <f>Doubles!I12</f>
        <v>trinker</v>
      </c>
      <c r="J14" s="90">
        <f ca="1">COUNTIF(DDDiffs!$G$25:$G$900,I14)</f>
        <v>0</v>
      </c>
    </row>
    <row r="15" spans="2:10">
      <c r="B15" s="87" t="str">
        <f>Singles!E14</f>
        <v>turini</v>
      </c>
      <c r="C15" s="88">
        <f>COUNTIF(Diffs!$G$18:$G$600,B15)</f>
        <v>6</v>
      </c>
      <c r="D15" s="89" t="str">
        <f>Singles!F14</f>
        <v>galdon</v>
      </c>
      <c r="E15" s="90">
        <f>COUNTIF(Diffs!$G$18:$G$600,D15)</f>
        <v>6</v>
      </c>
      <c r="F15" s="86"/>
      <c r="G15" s="87" t="str">
        <f>Doubles!H13</f>
        <v>turini</v>
      </c>
      <c r="H15" s="88">
        <f ca="1">COUNTIF(DDDiffs!$G$25:$G$900,G15)</f>
        <v>2</v>
      </c>
      <c r="I15" s="89" t="str">
        <f>Doubles!I13</f>
        <v>galdon</v>
      </c>
      <c r="J15" s="90">
        <f ca="1">COUNTIF(DDDiffs!$G$25:$G$900,I15)</f>
        <v>5</v>
      </c>
    </row>
    <row r="16" spans="2:10">
      <c r="B16" s="87" t="str">
        <f>Singles!E15</f>
        <v>santos jr</v>
      </c>
      <c r="C16" s="88">
        <f>COUNTIF(Diffs!$G$18:$G$600,B16)</f>
        <v>0</v>
      </c>
      <c r="D16" s="89" t="str">
        <f>Singles!F15</f>
        <v>lobkov</v>
      </c>
      <c r="E16" s="90">
        <f>COUNTIF(Diffs!$G$18:$G$600,D16)</f>
        <v>12</v>
      </c>
      <c r="F16" s="86"/>
      <c r="G16" s="87" t="str">
        <f>Doubles!H14</f>
        <v>santos jr</v>
      </c>
      <c r="H16" s="88">
        <f ca="1">COUNTIF(DDDiffs!$G$25:$G$900,G16)</f>
        <v>0</v>
      </c>
      <c r="I16" s="89" t="str">
        <f>Doubles!I14</f>
        <v>lobkov</v>
      </c>
      <c r="J16" s="90">
        <f ca="1">COUNTIF(DDDiffs!$G$25:$G$900,I16)</f>
        <v>7</v>
      </c>
    </row>
    <row r="17" spans="2:10">
      <c r="B17" s="87" t="str">
        <f>Singles!E16</f>
        <v>santos</v>
      </c>
      <c r="C17" s="88">
        <f>COUNTIF(Diffs!$G$18:$G$600,B17)</f>
        <v>21</v>
      </c>
      <c r="D17" s="89" t="str">
        <f>Singles!F16</f>
        <v>Fligia</v>
      </c>
      <c r="E17" s="90">
        <f>COUNTIF(Diffs!$G$18:$G$600,D17)</f>
        <v>2</v>
      </c>
      <c r="F17" s="86"/>
      <c r="G17" s="87" t="str">
        <f>Doubles!H15</f>
        <v>santos</v>
      </c>
      <c r="H17" s="88">
        <f ca="1">COUNTIF(DDDiffs!$G$25:$G$900,G17)</f>
        <v>11</v>
      </c>
      <c r="I17" s="89" t="str">
        <f>Doubles!I15</f>
        <v>Fligia</v>
      </c>
      <c r="J17" s="90">
        <f ca="1">COUNTIF(DDDiffs!$G$25:$G$900,I17)</f>
        <v>2</v>
      </c>
    </row>
    <row r="18" spans="2:10">
      <c r="B18" s="87" t="str">
        <f>Singles!E17</f>
        <v>blumenberg</v>
      </c>
      <c r="C18" s="88">
        <f>COUNTIF(Diffs!$G$18:$G$600,B18)</f>
        <v>1</v>
      </c>
      <c r="D18" s="89" t="str">
        <f>Singles!F17</f>
        <v>santos</v>
      </c>
      <c r="E18" s="90">
        <f>COUNTIF(Diffs!$G$18:$G$600,D18)</f>
        <v>21</v>
      </c>
      <c r="F18" s="86"/>
      <c r="G18" s="87" t="str">
        <f>Doubles!H16</f>
        <v>blumenberg</v>
      </c>
      <c r="H18" s="88">
        <f ca="1">COUNTIF(DDDiffs!$G$25:$G$900,G18)</f>
        <v>1</v>
      </c>
      <c r="I18" s="89" t="str">
        <f>Doubles!I16</f>
        <v>santos</v>
      </c>
      <c r="J18" s="90">
        <f ca="1">COUNTIF(DDDiffs!$G$25:$G$900,I18)</f>
        <v>11</v>
      </c>
    </row>
    <row r="19" spans="2:10">
      <c r="B19" s="91" t="str">
        <f>Singles!E18</f>
        <v>lojda</v>
      </c>
      <c r="C19" s="92">
        <f>COUNTIF(Diffs!$G$18:$G$600,B19)</f>
        <v>12</v>
      </c>
      <c r="D19" s="93" t="str">
        <f>Singles!F18</f>
        <v>siggia</v>
      </c>
      <c r="E19" s="94">
        <f>COUNTIF(Diffs!$G$18:$G$600,D19)</f>
        <v>0</v>
      </c>
      <c r="F19" s="86"/>
      <c r="G19" s="87" t="str">
        <f>Doubles!H17</f>
        <v>lojda</v>
      </c>
      <c r="H19" s="88">
        <f ca="1">COUNTIF(DDDiffs!$G$25:$G$900,G19)</f>
        <v>7</v>
      </c>
      <c r="I19" s="89" t="str">
        <f>Doubles!I17</f>
        <v>siggia</v>
      </c>
      <c r="J19" s="90">
        <f ca="1">COUNTIF(DDDiffs!$G$25:$G$900,I19)</f>
        <v>0</v>
      </c>
    </row>
    <row r="20" spans="2:10">
      <c r="B20" s="86"/>
      <c r="C20" s="86"/>
      <c r="D20" s="86"/>
      <c r="E20" s="86"/>
      <c r="F20" s="86"/>
      <c r="G20" s="87">
        <f>Doubles!H18</f>
        <v>0</v>
      </c>
      <c r="H20" s="88">
        <f ca="1">COUNTIF(DDDiffs!$G$25:$G$900,G20)</f>
        <v>0</v>
      </c>
      <c r="I20" s="89">
        <f>Doubles!I18</f>
        <v>0</v>
      </c>
      <c r="J20" s="90">
        <f ca="1">COUNTIF(DDDiffs!$G$25:$G$900,I20)</f>
        <v>0</v>
      </c>
    </row>
    <row r="21" spans="2:10">
      <c r="B21" s="86"/>
      <c r="C21" s="86"/>
      <c r="D21" s="86"/>
      <c r="E21" s="86"/>
      <c r="F21" s="86"/>
      <c r="G21" s="87">
        <f>Doubles!H19</f>
        <v>0</v>
      </c>
      <c r="H21" s="88">
        <f ca="1">COUNTIF(DDDiffs!$G$25:$G$900,G21)</f>
        <v>0</v>
      </c>
      <c r="I21" s="89">
        <f>Doubles!I19</f>
        <v>0</v>
      </c>
      <c r="J21" s="90">
        <f ca="1">COUNTIF(DDDiffs!$G$25:$G$900,I21)</f>
        <v>0</v>
      </c>
    </row>
    <row r="22" spans="2:10">
      <c r="B22" s="86"/>
      <c r="C22" s="86"/>
      <c r="D22" s="86"/>
      <c r="E22" s="86"/>
      <c r="F22" s="86"/>
      <c r="G22" s="87">
        <f>Doubles!H20</f>
        <v>0</v>
      </c>
      <c r="H22" s="88">
        <f ca="1">COUNTIF(DDDiffs!$G$25:$G$900,G22)</f>
        <v>0</v>
      </c>
      <c r="I22" s="89">
        <f>Doubles!I20</f>
        <v>0</v>
      </c>
      <c r="J22" s="90">
        <f ca="1">COUNTIF(DDDiffs!$G$25:$G$900,I22)</f>
        <v>0</v>
      </c>
    </row>
    <row r="23" spans="2:10">
      <c r="B23" s="86"/>
      <c r="C23" s="86"/>
      <c r="D23" s="86"/>
      <c r="E23" s="86"/>
      <c r="F23" s="86"/>
      <c r="G23" s="87">
        <f>Doubles!H21</f>
        <v>0</v>
      </c>
      <c r="H23" s="88">
        <f ca="1">COUNTIF(DDDiffs!$G$25:$G$900,G23)</f>
        <v>0</v>
      </c>
      <c r="I23" s="89">
        <f>Doubles!I21</f>
        <v>0</v>
      </c>
      <c r="J23" s="90">
        <f ca="1">COUNTIF(DDDiffs!$G$25:$G$900,I23)</f>
        <v>0</v>
      </c>
    </row>
    <row r="24" spans="2:10">
      <c r="B24" s="86"/>
      <c r="C24" s="86"/>
      <c r="D24" s="86"/>
      <c r="E24" s="86"/>
      <c r="F24" s="86"/>
      <c r="G24" s="87">
        <f>Doubles!H22</f>
        <v>0</v>
      </c>
      <c r="H24" s="88">
        <f ca="1">COUNTIF(DDDiffs!$G$25:$G$900,G24)</f>
        <v>0</v>
      </c>
      <c r="I24" s="89">
        <f>Doubles!I22</f>
        <v>0</v>
      </c>
      <c r="J24" s="90">
        <f ca="1">COUNTIF(DDDiffs!$G$25:$G$900,I24)</f>
        <v>0</v>
      </c>
    </row>
    <row r="25" spans="2:10">
      <c r="B25" s="86"/>
      <c r="C25" s="86"/>
      <c r="D25" s="86"/>
      <c r="E25" s="86"/>
      <c r="F25" s="86"/>
      <c r="G25" s="87">
        <f>Doubles!H23</f>
        <v>0</v>
      </c>
      <c r="H25" s="88">
        <f ca="1">COUNTIF(DDDiffs!$G$25:$G$900,G25)</f>
        <v>0</v>
      </c>
      <c r="I25" s="89">
        <f>Doubles!I23</f>
        <v>0</v>
      </c>
      <c r="J25" s="90">
        <f ca="1">COUNTIF(DDDiffs!$G$25:$G$900,I25)</f>
        <v>0</v>
      </c>
    </row>
    <row r="26" spans="2:10">
      <c r="B26" s="86"/>
      <c r="C26" s="86"/>
      <c r="D26" s="86"/>
      <c r="E26" s="86"/>
      <c r="F26" s="86"/>
      <c r="G26" s="87">
        <f>Doubles!H24</f>
        <v>0</v>
      </c>
      <c r="H26" s="88">
        <f ca="1">COUNTIF(DDDiffs!$G$25:$G$900,G26)</f>
        <v>0</v>
      </c>
      <c r="I26" s="89">
        <f>Doubles!I24</f>
        <v>0</v>
      </c>
      <c r="J26" s="90">
        <f ca="1">COUNTIF(DDDiffs!$G$25:$G$900,I26)</f>
        <v>0</v>
      </c>
    </row>
    <row r="27" spans="2:10">
      <c r="B27" s="86"/>
      <c r="C27" s="86"/>
      <c r="D27" s="86"/>
      <c r="E27" s="86"/>
      <c r="F27" s="86"/>
      <c r="G27" s="91">
        <f>Doubles!H25</f>
        <v>0</v>
      </c>
      <c r="H27" s="92">
        <f ca="1">COUNTIF(DDDiffs!$G$25:$G$900,G27)</f>
        <v>0</v>
      </c>
      <c r="I27" s="93">
        <f>Doubles!I25</f>
        <v>0</v>
      </c>
      <c r="J27" s="94">
        <f ca="1">COUNTIF(DDDiffs!$G$25:$G$900,I27)</f>
        <v>0</v>
      </c>
    </row>
    <row r="28" spans="2:10">
      <c r="B28" s="86"/>
      <c r="C28" s="86"/>
      <c r="D28" s="86"/>
      <c r="E28" s="86"/>
      <c r="F28" s="86"/>
      <c r="G28" s="86"/>
      <c r="H28" s="86"/>
      <c r="I28" s="86"/>
      <c r="J28" s="86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Z594"/>
  <sheetViews>
    <sheetView topLeftCell="G1" workbookViewId="0">
      <selection activeCell="T17" sqref="T17"/>
    </sheetView>
  </sheetViews>
  <sheetFormatPr baseColWidth="10" defaultColWidth="11.5703125" defaultRowHeight="14.25"/>
  <cols>
    <col min="1" max="1" width="6.7109375" style="95" customWidth="1"/>
    <col min="2" max="2" width="12.85546875" style="95" customWidth="1"/>
    <col min="3" max="3" width="11.5703125" style="96"/>
    <col min="4" max="4" width="6.5703125" style="95" customWidth="1"/>
    <col min="5" max="5" width="11.5703125" style="95"/>
    <col min="6" max="6" width="8.140625" style="95" customWidth="1"/>
    <col min="7" max="7" width="11.5703125" style="95"/>
    <col min="8" max="8" width="5.28515625" style="95" customWidth="1"/>
    <col min="9" max="9" width="19.85546875" style="95" customWidth="1"/>
    <col min="10" max="10" width="6.140625" style="95" customWidth="1"/>
    <col min="11" max="11" width="6" style="95" customWidth="1"/>
    <col min="12" max="12" width="10" style="95" customWidth="1"/>
    <col min="13" max="13" width="5.42578125" style="95" customWidth="1"/>
    <col min="14" max="14" width="5.5703125" style="95" customWidth="1"/>
    <col min="15" max="15" width="7.28515625" style="95" customWidth="1"/>
    <col min="16" max="16" width="7.5703125" style="95" customWidth="1"/>
    <col min="17" max="17" width="5.140625" style="95" customWidth="1"/>
    <col min="18" max="19" width="5.28515625" style="95" customWidth="1"/>
    <col min="20" max="20" width="11.5703125" style="95"/>
    <col min="21" max="21" width="31.28515625" style="95" customWidth="1"/>
    <col min="22" max="23" width="5.42578125" style="95" customWidth="1"/>
    <col min="24" max="24" width="5" style="95" customWidth="1"/>
    <col min="25" max="25" width="5.7109375" style="95" customWidth="1"/>
    <col min="26" max="16384" width="11.5703125" style="95"/>
  </cols>
  <sheetData>
    <row r="1" spans="1:20" ht="13.5">
      <c r="C1" s="95"/>
      <c r="D1" s="95" t="s">
        <v>88</v>
      </c>
      <c r="E1" s="95" t="s">
        <v>87</v>
      </c>
      <c r="F1" s="95" t="s">
        <v>89</v>
      </c>
      <c r="G1" s="95" t="s">
        <v>90</v>
      </c>
      <c r="I1" s="95" t="s">
        <v>118</v>
      </c>
    </row>
    <row r="2" spans="1:20" ht="13.5">
      <c r="A2" s="95">
        <v>1</v>
      </c>
      <c r="B2" s="95" t="str">
        <f>Singles!E3</f>
        <v>Travaglia</v>
      </c>
      <c r="C2" s="95" t="str">
        <f>Singles!F3</f>
        <v>Ghem</v>
      </c>
      <c r="D2" s="97">
        <f>Singles!H$3</f>
        <v>1</v>
      </c>
      <c r="E2" s="95" t="str">
        <f>IF(Singles!G3="","",Singles!G3)</f>
        <v>PTS</v>
      </c>
      <c r="F2" s="95">
        <f>Singles!I3</f>
        <v>0</v>
      </c>
      <c r="G2" s="95" t="str">
        <f>IF(Singles!K3="","",Singles!K3)</f>
        <v/>
      </c>
      <c r="H2" s="95" t="str">
        <f t="shared" ref="H2:H17" si="0">IF(G2="","",IF(K2="PTS",IF(LEN(O2)&lt;8,"2-0","2-1"),LEFT(O2,1)&amp;"-"&amp;RIGHT(O2,1)))</f>
        <v/>
      </c>
      <c r="I2" s="95">
        <f>Singles!H21</f>
        <v>1</v>
      </c>
      <c r="K2" s="95" t="str">
        <f t="shared" ref="K2:K17" si="1">IF(LEN(G2)&gt;0,IF(LEN(O2)&lt;4,"SR","PTS"),"")</f>
        <v/>
      </c>
      <c r="M2" s="95" t="str">
        <f t="shared" ref="M2:M17" si="2">SUBSTITUTE(G2,"-","")</f>
        <v/>
      </c>
      <c r="N2" s="95" t="str">
        <f t="shared" ref="N2:N17" si="3">SUBSTITUTE(M2,",","")</f>
        <v/>
      </c>
      <c r="O2" s="95" t="str">
        <f t="shared" ref="O2:O17" si="4">SUBSTITUTE(P2,"/","")</f>
        <v/>
      </c>
      <c r="P2" s="95" t="str">
        <f t="shared" ref="P2:P17" si="5">SUBSTITUTE(N2,":","")</f>
        <v/>
      </c>
      <c r="T2" s="95" t="str">
        <f>IF(Singles!J3="","",Singles!J3)</f>
        <v/>
      </c>
    </row>
    <row r="3" spans="1:20" ht="13.5">
      <c r="A3" s="95">
        <v>2</v>
      </c>
      <c r="B3" s="95" t="str">
        <f>Singles!E4</f>
        <v>Machado</v>
      </c>
      <c r="C3" s="95" t="str">
        <f>Singles!F4</f>
        <v>Camilo</v>
      </c>
      <c r="D3" s="97">
        <f>Singles!H$4</f>
        <v>1</v>
      </c>
      <c r="E3" s="95" t="str">
        <f>IF(Singles!G4="","",Singles!G4)</f>
        <v>PTS</v>
      </c>
      <c r="F3" s="95">
        <f>Singles!I4</f>
        <v>0</v>
      </c>
      <c r="G3" s="95" t="str">
        <f>IF(Singles!K4="","",Singles!K4)</f>
        <v/>
      </c>
      <c r="H3" s="95" t="str">
        <f t="shared" si="0"/>
        <v/>
      </c>
      <c r="I3" s="95" t="s">
        <v>119</v>
      </c>
      <c r="K3" s="95" t="str">
        <f t="shared" si="1"/>
        <v/>
      </c>
      <c r="M3" s="95" t="str">
        <f t="shared" si="2"/>
        <v/>
      </c>
      <c r="N3" s="95" t="str">
        <f t="shared" si="3"/>
        <v/>
      </c>
      <c r="O3" s="95" t="str">
        <f t="shared" si="4"/>
        <v/>
      </c>
      <c r="P3" s="95" t="str">
        <f t="shared" si="5"/>
        <v/>
      </c>
      <c r="T3" s="95" t="str">
        <f>IF(Singles!J4="","",Singles!J4)</f>
        <v/>
      </c>
    </row>
    <row r="4" spans="1:20" ht="13.5">
      <c r="A4" s="95">
        <v>3</v>
      </c>
      <c r="B4" s="95" t="str">
        <f>Singles!E5</f>
        <v>Junqueira</v>
      </c>
      <c r="C4" s="95" t="str">
        <f>Singles!F5</f>
        <v>Tsuchiya</v>
      </c>
      <c r="D4" s="97">
        <f>Singles!H$5</f>
        <v>1</v>
      </c>
      <c r="E4" s="95" t="str">
        <f>IF(Singles!G5="","",Singles!G5)</f>
        <v>PTS</v>
      </c>
      <c r="F4" s="95">
        <f>Singles!I5</f>
        <v>0</v>
      </c>
      <c r="G4" s="95" t="str">
        <f>IF(Singles!K5="","",Singles!K5)</f>
        <v/>
      </c>
      <c r="H4" s="95" t="str">
        <f t="shared" si="0"/>
        <v/>
      </c>
      <c r="I4" s="97">
        <f>COUNTIF(Singles!H3:H18,"="&amp;Singles!$H$21)</f>
        <v>16</v>
      </c>
      <c r="K4" s="95" t="str">
        <f t="shared" si="1"/>
        <v/>
      </c>
      <c r="M4" s="95" t="str">
        <f t="shared" si="2"/>
        <v/>
      </c>
      <c r="N4" s="95" t="str">
        <f t="shared" si="3"/>
        <v/>
      </c>
      <c r="O4" s="95" t="str">
        <f t="shared" si="4"/>
        <v/>
      </c>
      <c r="P4" s="95" t="str">
        <f t="shared" si="5"/>
        <v/>
      </c>
      <c r="T4" s="95" t="str">
        <f>IF(Singles!J5="","",Singles!J5)</f>
        <v/>
      </c>
    </row>
    <row r="5" spans="1:20" ht="13.5">
      <c r="A5" s="95">
        <v>4</v>
      </c>
      <c r="B5" s="95" t="str">
        <f>Singles!E6</f>
        <v>Laranja</v>
      </c>
      <c r="C5" s="95" t="str">
        <f>Singles!F6</f>
        <v>Gaio</v>
      </c>
      <c r="D5" s="97">
        <f>Singles!H$6</f>
        <v>1</v>
      </c>
      <c r="E5" s="95" t="str">
        <f>IF(Singles!G6="","",Singles!G6)</f>
        <v>PTS</v>
      </c>
      <c r="F5" s="95">
        <f>Singles!I6</f>
        <v>0</v>
      </c>
      <c r="G5" s="95" t="str">
        <f>IF(Singles!K6="","",Singles!K6)</f>
        <v/>
      </c>
      <c r="H5" s="95" t="str">
        <f t="shared" si="0"/>
        <v/>
      </c>
      <c r="K5" s="95" t="str">
        <f t="shared" si="1"/>
        <v/>
      </c>
      <c r="M5" s="95" t="str">
        <f t="shared" si="2"/>
        <v/>
      </c>
      <c r="N5" s="95" t="str">
        <f t="shared" si="3"/>
        <v/>
      </c>
      <c r="O5" s="95" t="str">
        <f t="shared" si="4"/>
        <v/>
      </c>
      <c r="P5" s="95" t="str">
        <f t="shared" si="5"/>
        <v/>
      </c>
      <c r="T5" s="95" t="str">
        <f>IF(Singles!J6="","",Singles!J6)</f>
        <v/>
      </c>
    </row>
    <row r="6" spans="1:20" ht="13.5">
      <c r="A6" s="95">
        <v>5</v>
      </c>
      <c r="B6" s="95" t="str">
        <f>Singles!E7</f>
        <v>PODLIPBIK-CASTILLO</v>
      </c>
      <c r="C6" s="95" t="str">
        <f>Singles!F7</f>
        <v>Yamacita</v>
      </c>
      <c r="D6" s="97">
        <f>Singles!H$7</f>
        <v>1</v>
      </c>
      <c r="E6" s="95" t="str">
        <f>IF(Singles!G7="","",Singles!G7)</f>
        <v>PTS</v>
      </c>
      <c r="F6" s="95">
        <f>Singles!I7</f>
        <v>0</v>
      </c>
      <c r="G6" s="95" t="str">
        <f>IF(Singles!K7="","",Singles!K7)</f>
        <v/>
      </c>
      <c r="H6" s="95" t="str">
        <f t="shared" si="0"/>
        <v/>
      </c>
      <c r="K6" s="95" t="str">
        <f t="shared" si="1"/>
        <v/>
      </c>
      <c r="M6" s="95" t="str">
        <f t="shared" si="2"/>
        <v/>
      </c>
      <c r="N6" s="95" t="str">
        <f t="shared" si="3"/>
        <v/>
      </c>
      <c r="O6" s="95" t="str">
        <f t="shared" si="4"/>
        <v/>
      </c>
      <c r="P6" s="95" t="str">
        <f t="shared" si="5"/>
        <v/>
      </c>
      <c r="T6" s="95" t="str">
        <f>IF(Singles!J7="","",Singles!J7)</f>
        <v/>
      </c>
    </row>
    <row r="7" spans="1:20" ht="13.5">
      <c r="A7" s="95">
        <v>6</v>
      </c>
      <c r="B7" s="95" t="str">
        <f>Singles!E8</f>
        <v>Lindell</v>
      </c>
      <c r="C7" s="95" t="str">
        <f>Singles!F8</f>
        <v>Duran</v>
      </c>
      <c r="D7" s="97">
        <f>Singles!H$8</f>
        <v>1</v>
      </c>
      <c r="E7" s="95" t="str">
        <f>IF(Singles!G8="","",Singles!G8)</f>
        <v>PTS</v>
      </c>
      <c r="F7" s="95">
        <f>Singles!I8</f>
        <v>0</v>
      </c>
      <c r="G7" s="95" t="str">
        <f>IF(Singles!K8="","",Singles!K8)</f>
        <v/>
      </c>
      <c r="H7" s="95" t="str">
        <f t="shared" si="0"/>
        <v/>
      </c>
      <c r="K7" s="95" t="str">
        <f t="shared" si="1"/>
        <v/>
      </c>
      <c r="M7" s="95" t="str">
        <f t="shared" si="2"/>
        <v/>
      </c>
      <c r="N7" s="95" t="str">
        <f t="shared" si="3"/>
        <v/>
      </c>
      <c r="O7" s="95" t="str">
        <f t="shared" si="4"/>
        <v/>
      </c>
      <c r="P7" s="95" t="str">
        <f t="shared" si="5"/>
        <v/>
      </c>
      <c r="T7" s="95" t="str">
        <f>IF(Singles!J8="","",Singles!J8)</f>
        <v/>
      </c>
    </row>
    <row r="8" spans="1:20" ht="13.5">
      <c r="A8" s="95">
        <v>7</v>
      </c>
      <c r="B8" s="95" t="str">
        <f>Singles!E9</f>
        <v>Sorgi</v>
      </c>
      <c r="C8" s="95" t="str">
        <f>Singles!F9</f>
        <v>Michon</v>
      </c>
      <c r="D8" s="97">
        <f>Singles!H$9</f>
        <v>1</v>
      </c>
      <c r="E8" s="95" t="str">
        <f>IF(Singles!G9="","",Singles!G9)</f>
        <v>PTS</v>
      </c>
      <c r="F8" s="95">
        <f>Singles!I9</f>
        <v>0</v>
      </c>
      <c r="G8" s="95" t="str">
        <f>IF(Singles!K9="","",Singles!K9)</f>
        <v/>
      </c>
      <c r="H8" s="95" t="str">
        <f t="shared" si="0"/>
        <v/>
      </c>
      <c r="K8" s="95" t="str">
        <f t="shared" si="1"/>
        <v/>
      </c>
      <c r="M8" s="95" t="str">
        <f t="shared" si="2"/>
        <v/>
      </c>
      <c r="N8" s="95" t="str">
        <f t="shared" si="3"/>
        <v/>
      </c>
      <c r="O8" s="95" t="str">
        <f t="shared" si="4"/>
        <v/>
      </c>
      <c r="P8" s="95" t="str">
        <f t="shared" si="5"/>
        <v/>
      </c>
      <c r="T8" s="95" t="str">
        <f>IF(Singles!J9="","",Singles!J9)</f>
        <v/>
      </c>
    </row>
    <row r="9" spans="1:20" ht="13.5">
      <c r="A9" s="95">
        <v>8</v>
      </c>
      <c r="B9" s="95" t="str">
        <f>Singles!E10</f>
        <v>Rios-benitez</v>
      </c>
      <c r="C9" s="95" t="str">
        <f>Singles!F10</f>
        <v>gonzalez</v>
      </c>
      <c r="D9" s="97">
        <f>Singles!H$10</f>
        <v>1</v>
      </c>
      <c r="E9" s="95" t="str">
        <f>IF(Singles!G10="","",Singles!G10)</f>
        <v>PTS</v>
      </c>
      <c r="F9" s="95">
        <f>Singles!I10</f>
        <v>0</v>
      </c>
      <c r="G9" s="95" t="str">
        <f>IF(Singles!K10="","",Singles!K10)</f>
        <v/>
      </c>
      <c r="H9" s="95" t="str">
        <f t="shared" si="0"/>
        <v/>
      </c>
      <c r="K9" s="95" t="str">
        <f t="shared" si="1"/>
        <v/>
      </c>
      <c r="M9" s="95" t="str">
        <f t="shared" si="2"/>
        <v/>
      </c>
      <c r="N9" s="95" t="str">
        <f t="shared" si="3"/>
        <v/>
      </c>
      <c r="O9" s="95" t="str">
        <f t="shared" si="4"/>
        <v/>
      </c>
      <c r="P9" s="95" t="str">
        <f t="shared" si="5"/>
        <v/>
      </c>
      <c r="T9" s="95" t="str">
        <f>IF(Singles!J10="","",Singles!J10)</f>
        <v/>
      </c>
    </row>
    <row r="10" spans="1:20" ht="13.5">
      <c r="A10" s="95">
        <v>9</v>
      </c>
      <c r="B10" s="95" t="str">
        <f>Singles!E11</f>
        <v>pereira</v>
      </c>
      <c r="C10" s="95" t="str">
        <f>Singles!F11</f>
        <v>oliveira</v>
      </c>
      <c r="D10" s="97">
        <f>Singles!H$11</f>
        <v>1</v>
      </c>
      <c r="E10" s="95" t="str">
        <f>IF(Singles!G11="","",Singles!G11)</f>
        <v>PTS</v>
      </c>
      <c r="F10" s="95">
        <f>Singles!I11</f>
        <v>0</v>
      </c>
      <c r="G10" s="95" t="str">
        <f>IF(Singles!K11="","",Singles!K11)</f>
        <v/>
      </c>
      <c r="H10" s="95" t="str">
        <f t="shared" si="0"/>
        <v/>
      </c>
      <c r="K10" s="95" t="str">
        <f t="shared" si="1"/>
        <v/>
      </c>
      <c r="M10" s="95" t="str">
        <f t="shared" si="2"/>
        <v/>
      </c>
      <c r="N10" s="95" t="str">
        <f t="shared" si="3"/>
        <v/>
      </c>
      <c r="O10" s="95" t="str">
        <f t="shared" si="4"/>
        <v/>
      </c>
      <c r="P10" s="95" t="str">
        <f t="shared" si="5"/>
        <v/>
      </c>
      <c r="T10" s="95" t="str">
        <f>IF(Singles!J11="","",Singles!J11)</f>
        <v/>
      </c>
    </row>
    <row r="11" spans="1:20" ht="13.5">
      <c r="A11" s="95">
        <v>10</v>
      </c>
      <c r="B11" s="95" t="str">
        <f>Singles!E12</f>
        <v>matos</v>
      </c>
      <c r="C11" s="95" t="str">
        <f>Singles!F12</f>
        <v>collinari</v>
      </c>
      <c r="D11" s="97">
        <f>Singles!H$12</f>
        <v>1</v>
      </c>
      <c r="E11" s="95" t="str">
        <f>IF(Singles!G12="","",Singles!G12)</f>
        <v>PTS</v>
      </c>
      <c r="F11" s="95">
        <f>Singles!I12</f>
        <v>0</v>
      </c>
      <c r="G11" s="95" t="str">
        <f>IF(Singles!K12="","",Singles!K12)</f>
        <v/>
      </c>
      <c r="H11" s="95" t="str">
        <f t="shared" si="0"/>
        <v/>
      </c>
      <c r="K11" s="95" t="str">
        <f t="shared" si="1"/>
        <v/>
      </c>
      <c r="M11" s="95" t="str">
        <f t="shared" si="2"/>
        <v/>
      </c>
      <c r="N11" s="95" t="str">
        <f t="shared" si="3"/>
        <v/>
      </c>
      <c r="O11" s="95" t="str">
        <f t="shared" si="4"/>
        <v/>
      </c>
      <c r="P11" s="95" t="str">
        <f t="shared" si="5"/>
        <v/>
      </c>
      <c r="T11" s="95" t="str">
        <f>IF(Singles!J12="","",Singles!J12)</f>
        <v/>
      </c>
    </row>
    <row r="12" spans="1:20" ht="13.5">
      <c r="A12" s="95">
        <v>11</v>
      </c>
      <c r="B12" s="95" t="str">
        <f>Singles!E13</f>
        <v>giner</v>
      </c>
      <c r="C12" s="95" t="str">
        <f>Singles!F13</f>
        <v>trinker</v>
      </c>
      <c r="D12" s="97">
        <f>Singles!H$13</f>
        <v>1</v>
      </c>
      <c r="E12" s="95" t="str">
        <f>IF(Singles!G13="","",Singles!G13)</f>
        <v>PTS</v>
      </c>
      <c r="F12" s="95">
        <f>Singles!I13</f>
        <v>0</v>
      </c>
      <c r="G12" s="95" t="str">
        <f>IF(Singles!K13="","",Singles!K13)</f>
        <v/>
      </c>
      <c r="H12" s="95" t="str">
        <f t="shared" si="0"/>
        <v/>
      </c>
      <c r="K12" s="95" t="str">
        <f t="shared" si="1"/>
        <v/>
      </c>
      <c r="M12" s="95" t="str">
        <f t="shared" si="2"/>
        <v/>
      </c>
      <c r="N12" s="95" t="str">
        <f t="shared" si="3"/>
        <v/>
      </c>
      <c r="O12" s="95" t="str">
        <f t="shared" si="4"/>
        <v/>
      </c>
      <c r="P12" s="95" t="str">
        <f t="shared" si="5"/>
        <v/>
      </c>
      <c r="T12" s="95" t="str">
        <f>IF(Singles!J13="","",Singles!J13)</f>
        <v/>
      </c>
    </row>
    <row r="13" spans="1:20" ht="13.5">
      <c r="A13" s="95">
        <v>12</v>
      </c>
      <c r="B13" s="95" t="str">
        <f>Singles!E14</f>
        <v>turini</v>
      </c>
      <c r="C13" s="95" t="str">
        <f>Singles!F14</f>
        <v>galdon</v>
      </c>
      <c r="D13" s="97">
        <f>Singles!H$14</f>
        <v>1</v>
      </c>
      <c r="E13" s="95" t="str">
        <f>IF(Singles!G14="","",Singles!G14)</f>
        <v>PTS</v>
      </c>
      <c r="F13" s="95">
        <f>Singles!I14</f>
        <v>0</v>
      </c>
      <c r="G13" s="95" t="str">
        <f>IF(Singles!K14="","",Singles!K14)</f>
        <v/>
      </c>
      <c r="H13" s="95" t="str">
        <f t="shared" si="0"/>
        <v/>
      </c>
      <c r="K13" s="95" t="str">
        <f t="shared" si="1"/>
        <v/>
      </c>
      <c r="M13" s="95" t="str">
        <f t="shared" si="2"/>
        <v/>
      </c>
      <c r="N13" s="95" t="str">
        <f t="shared" si="3"/>
        <v/>
      </c>
      <c r="O13" s="95" t="str">
        <f t="shared" si="4"/>
        <v/>
      </c>
      <c r="P13" s="95" t="str">
        <f t="shared" si="5"/>
        <v/>
      </c>
      <c r="T13" s="95" t="str">
        <f>IF(Singles!J14="","",Singles!J14)</f>
        <v/>
      </c>
    </row>
    <row r="14" spans="1:20" ht="13.5">
      <c r="A14" s="95">
        <v>13</v>
      </c>
      <c r="B14" s="95" t="str">
        <f>Singles!E15</f>
        <v>santos jr</v>
      </c>
      <c r="C14" s="95" t="str">
        <f>Singles!F15</f>
        <v>lobkov</v>
      </c>
      <c r="D14" s="97">
        <f>Singles!H$15</f>
        <v>1</v>
      </c>
      <c r="E14" s="95" t="str">
        <f>IF(Singles!G15="","",Singles!G15)</f>
        <v>PTS</v>
      </c>
      <c r="F14" s="95">
        <f>Singles!I15</f>
        <v>0</v>
      </c>
      <c r="G14" s="95" t="str">
        <f>IF(Singles!K15="","",Singles!K15)</f>
        <v/>
      </c>
      <c r="H14" s="95" t="str">
        <f t="shared" si="0"/>
        <v/>
      </c>
      <c r="K14" s="95" t="str">
        <f t="shared" si="1"/>
        <v/>
      </c>
      <c r="M14" s="95" t="str">
        <f t="shared" si="2"/>
        <v/>
      </c>
      <c r="N14" s="95" t="str">
        <f t="shared" si="3"/>
        <v/>
      </c>
      <c r="O14" s="95" t="str">
        <f t="shared" si="4"/>
        <v/>
      </c>
      <c r="P14" s="95" t="str">
        <f t="shared" si="5"/>
        <v/>
      </c>
      <c r="T14" s="95" t="str">
        <f>IF(Singles!J15="","",Singles!J15)</f>
        <v/>
      </c>
    </row>
    <row r="15" spans="1:20" ht="13.5">
      <c r="A15" s="95">
        <v>14</v>
      </c>
      <c r="B15" s="95" t="str">
        <f>Singles!E16</f>
        <v>santos</v>
      </c>
      <c r="C15" s="95" t="str">
        <f>Singles!F16</f>
        <v>Fligia</v>
      </c>
      <c r="D15" s="97">
        <f>Singles!H$16</f>
        <v>1</v>
      </c>
      <c r="E15" s="95" t="str">
        <f>IF(Singles!G16="","",Singles!G16)</f>
        <v>PTS</v>
      </c>
      <c r="F15" s="95">
        <f>Singles!I16</f>
        <v>0</v>
      </c>
      <c r="G15" s="95" t="str">
        <f>IF(Singles!K16="","",Singles!K16)</f>
        <v/>
      </c>
      <c r="H15" s="95" t="str">
        <f t="shared" si="0"/>
        <v/>
      </c>
      <c r="K15" s="95" t="str">
        <f t="shared" si="1"/>
        <v/>
      </c>
      <c r="M15" s="95" t="str">
        <f t="shared" si="2"/>
        <v/>
      </c>
      <c r="N15" s="95" t="str">
        <f t="shared" si="3"/>
        <v/>
      </c>
      <c r="O15" s="95" t="str">
        <f t="shared" si="4"/>
        <v/>
      </c>
      <c r="P15" s="95" t="str">
        <f t="shared" si="5"/>
        <v/>
      </c>
      <c r="T15" s="95" t="str">
        <f>IF(Singles!J16="","",Singles!J16)</f>
        <v/>
      </c>
    </row>
    <row r="16" spans="1:20" ht="13.5">
      <c r="A16" s="95">
        <v>15</v>
      </c>
      <c r="B16" s="95" t="str">
        <f>Singles!E17</f>
        <v>blumenberg</v>
      </c>
      <c r="C16" s="95" t="str">
        <f>Singles!F17</f>
        <v>santos</v>
      </c>
      <c r="D16" s="97">
        <f>Singles!H$17</f>
        <v>1</v>
      </c>
      <c r="E16" s="95" t="str">
        <f>IF(Singles!G17="","",Singles!G17)</f>
        <v>PTS</v>
      </c>
      <c r="F16" s="95">
        <f>Singles!I17</f>
        <v>0</v>
      </c>
      <c r="G16" s="95" t="str">
        <f>IF(Singles!K17="","",Singles!K17)</f>
        <v/>
      </c>
      <c r="H16" s="95" t="str">
        <f t="shared" si="0"/>
        <v/>
      </c>
      <c r="K16" s="95" t="str">
        <f t="shared" si="1"/>
        <v/>
      </c>
      <c r="M16" s="95" t="str">
        <f t="shared" si="2"/>
        <v/>
      </c>
      <c r="N16" s="95" t="str">
        <f t="shared" si="3"/>
        <v/>
      </c>
      <c r="O16" s="95" t="str">
        <f t="shared" si="4"/>
        <v/>
      </c>
      <c r="P16" s="95" t="str">
        <f t="shared" si="5"/>
        <v/>
      </c>
      <c r="T16" s="95" t="str">
        <f>IF(Singles!J17="","",Singles!J17)</f>
        <v/>
      </c>
    </row>
    <row r="17" spans="1:26" ht="13.5">
      <c r="A17" s="95">
        <v>16</v>
      </c>
      <c r="B17" s="95" t="str">
        <f>Singles!E18</f>
        <v>lojda</v>
      </c>
      <c r="C17" s="95" t="str">
        <f>Singles!F18</f>
        <v>siggia</v>
      </c>
      <c r="D17" s="97">
        <f>Singles!H$18</f>
        <v>1</v>
      </c>
      <c r="E17" s="95" t="str">
        <f>IF(Singles!G18="","",Singles!G18)</f>
        <v>PTS</v>
      </c>
      <c r="F17" s="95">
        <f>Singles!I18</f>
        <v>0</v>
      </c>
      <c r="G17" s="95" t="str">
        <f>IF(Singles!K18="","",Singles!K18)</f>
        <v/>
      </c>
      <c r="H17" s="95" t="str">
        <f t="shared" si="0"/>
        <v/>
      </c>
      <c r="K17" s="95" t="str">
        <f t="shared" si="1"/>
        <v/>
      </c>
      <c r="M17" s="95" t="str">
        <f t="shared" si="2"/>
        <v/>
      </c>
      <c r="N17" s="95" t="str">
        <f t="shared" si="3"/>
        <v/>
      </c>
      <c r="O17" s="95" t="str">
        <f t="shared" si="4"/>
        <v/>
      </c>
      <c r="P17" s="95" t="str">
        <f t="shared" si="5"/>
        <v/>
      </c>
      <c r="T17" s="95" t="str">
        <f>IF(Singles!J18="","",Singles!J18)</f>
        <v/>
      </c>
    </row>
    <row r="18" spans="1:26">
      <c r="B18" s="98" t="s">
        <v>120</v>
      </c>
      <c r="F18" s="97">
        <f>COUNTIF(F2:F17,"&gt;0")</f>
        <v>0</v>
      </c>
      <c r="T18" s="98" t="s">
        <v>120</v>
      </c>
    </row>
    <row r="19" spans="1:26">
      <c r="A19" s="95">
        <f>IF(LEN(VLOOKUP(B19,Singles!$A$2:$B$33,2,0))&gt;0,VLOOKUP(B19,Singles!$A$2:$B$33,2,0),"")</f>
        <v>1</v>
      </c>
      <c r="B19" s="96" t="str">
        <f>Singles!A2</f>
        <v>Sauletekis</v>
      </c>
      <c r="C19" s="96">
        <v>1</v>
      </c>
      <c r="D19" s="95" t="str">
        <f>VLOOKUP(B19,Singles!$A$2:$C$33,3,0)</f>
        <v>POR</v>
      </c>
      <c r="J19" s="95" t="s">
        <v>88</v>
      </c>
      <c r="Q19" s="95" t="s">
        <v>121</v>
      </c>
      <c r="S19" s="95" t="s">
        <v>122</v>
      </c>
      <c r="T19" s="95" t="str">
        <f>IF(LEN(A19)&gt;0,"("&amp;A19&amp;") "&amp;B19,B19)&amp;IF(LEN(D19)&gt;1," ("&amp;D19&amp;")","")</f>
        <v>(1) Sauletekis (POR)</v>
      </c>
      <c r="V19" s="95" t="s">
        <v>123</v>
      </c>
      <c r="Y19" s="95" t="s">
        <v>123</v>
      </c>
      <c r="Z19" s="95" t="s">
        <v>124</v>
      </c>
    </row>
    <row r="20" spans="1:26">
      <c r="A20" s="95">
        <v>1</v>
      </c>
      <c r="B20" s="95" t="str">
        <f>Singles!B95</f>
        <v>GHEM 6-4 4-6 6-3</v>
      </c>
      <c r="C20" s="99" t="str">
        <f>IF(OR(LEFT(B20,LEN(B$2))=B$2,LEFT(B20,LEN(C$2))=C$2,LEN(B20)&lt;2),"","Wrong pick")</f>
        <v/>
      </c>
      <c r="D20" s="95">
        <f t="shared" ref="D20:D35" ca="1" si="6">IF(OR(G20=G38,INDIRECT(ADDRESS(A20+1,6,1))&gt;0),0,1)</f>
        <v>1</v>
      </c>
      <c r="E20" s="95" t="str">
        <f ca="1">IF(AND(D20=1,J20=$I$2),G20&amp;", ","")&amp;IF(AND(D21=1,J21=$I$2),G21&amp;", ","")&amp;IF(AND(D22=1,J22=$I$2),G22&amp;", ","")&amp;IF(AND(D23=1,J23=$I$2),G23&amp;", ","")&amp;IF(AND(D24=1,J24=$I$2),G24&amp;", ","")&amp;IF(AND(D25=1,J25=$I$2),G25&amp;", ","")&amp;IF(AND(D26=1,J26=$I$2),G26&amp;", ","")&amp;IF(AND(D27=1,J27=$I$2),G27&amp;", ","")&amp;IF(AND(D28=1,J28=$I$2),G28&amp;", ","")&amp;IF(AND(D29=1,J29=$I$2),G29&amp;", ","")&amp;IF(AND(D30=1,J30=$I$2),G30&amp;", ","")&amp;IF(AND(D31=1,J31=$I$2),G31&amp;", ","")&amp;IF(AND(D32=1,J32=$I$2),G32&amp;", ","")&amp;IF(AND(D33=1,J33=$I$2),G33&amp;", ","")&amp;IF(AND(D34=1,J34=$I$2),G34&amp;", ","")&amp;IF(AND(D35=1,J35=$I$2),G35&amp;", ","")</f>
        <v xml:space="preserve">Ghem, Machado, Junqueira, Gaio, PODLIPBIK-CASTILLO, Duran, Michon, gonzalez, pereira, collinari, giner, galdon, lobkov, santos, santos, lojda, </v>
      </c>
      <c r="F20" s="95" t="str">
        <f>IF(AND(SUM(Z20:Z35)=$I$4,NOT(B19="Bye")),"Missing picks from "&amp;B19&amp;" ","")</f>
        <v/>
      </c>
      <c r="G20" s="95" t="str">
        <f>IF(B20=0,"",IF(LEFT(B20,LEN(B$2))=B$2,B$2,C$2))</f>
        <v>Ghem</v>
      </c>
      <c r="H20" s="95" t="str">
        <f t="shared" ref="H20:H35" si="7">IF(L20="","",IF(K20="PTS",IF(LEN(O20)&lt;8,"2-0","2-1"),LEFT(O20,1)&amp;"-"&amp;RIGHT(O20,1)))</f>
        <v>2-1</v>
      </c>
      <c r="I20" s="95" t="str">
        <f ca="1">IF(AND(J20=Singles!$H$21,INDIRECT(ADDRESS(A20+1,6,1))=0,NOT(INDIRECT(ADDRESS(A20+1,5,1))="")),IF(D20=0,IF(H20=H38,"",G20&amp;" "&amp;H20&amp;" v "&amp;H38&amp;", "),G20&amp;" "&amp;H20&amp;" vs. "&amp;G38&amp;" "&amp;H38&amp;", "),"")</f>
        <v xml:space="preserve">Ghem 2-1 vs.  0-0, </v>
      </c>
      <c r="J20" s="97">
        <f>Singles!H$3</f>
        <v>1</v>
      </c>
      <c r="K20" s="95" t="str">
        <f t="shared" ref="K20:K35" si="8">IF(LEN(L20)&gt;0,IF(LEN(O20)&lt;4,"SR","PTS"),"")</f>
        <v>PTS</v>
      </c>
      <c r="L20" s="95" t="str">
        <f t="shared" ref="L20:L35" si="9">TRIM(RIGHT(B20,LEN(B20)-LEN(G20)))</f>
        <v>6-4 4-6 6-3</v>
      </c>
      <c r="M20" s="95" t="str">
        <f t="shared" ref="M20:M35" si="10">SUBSTITUTE(L20,"-","")</f>
        <v>64 46 63</v>
      </c>
      <c r="N20" s="95" t="str">
        <f t="shared" ref="N20:N35" si="11">SUBSTITUTE(M20,","," ")</f>
        <v>64 46 63</v>
      </c>
      <c r="O20" s="95" t="str">
        <f t="shared" ref="O20:O35" si="12">IF(AND(LEN(TRIM(SUBSTITUTE(P20,"/","")))&gt;6,OR(LEFT(TRIM(SUBSTITUTE(P20,"/","")),2)="20",LEFT(TRIM(SUBSTITUTE(P20,"/","")),2)="21")),RIGHT(TRIM(SUBSTITUTE(P20,"/","")),LEN(TRIM(SUBSTITUTE(P20,"/","")))-3),TRIM(SUBSTITUTE(P20,"/","")))</f>
        <v>64 46 63</v>
      </c>
      <c r="P20" s="95" t="str">
        <f t="shared" ref="P20:P35" si="13">SUBSTITUTE(N20,":","")</f>
        <v>64 46 63</v>
      </c>
      <c r="Q20" s="95">
        <f>IF(AND(G20=T$2,LEN(G20)&gt;1),1,0)</f>
        <v>0</v>
      </c>
      <c r="R20" s="97">
        <f>Singles!D$3</f>
        <v>1</v>
      </c>
      <c r="S20" s="95">
        <f>IF(AND(H20=H$2,LEN(H20)&gt;1,Q20=1),1,0)</f>
        <v>0</v>
      </c>
      <c r="T20" s="95" t="str">
        <f ca="1">" SR Differences: "&amp;IF(LEN(I20&amp;I21&amp;I22&amp;I23&amp;I24&amp;I25&amp;I26&amp;I27&amp;I28&amp;I29&amp;I30&amp;I31&amp;I32&amp;I33&amp;I34&amp;I35)&lt;3,"None..",I20&amp;I21&amp;I22&amp;I23&amp;I24&amp;I25&amp;I26&amp;I27&amp;I28&amp;I29&amp;I30&amp;I31&amp;I32&amp;I33&amp;I34&amp;I35)</f>
        <v xml:space="preserve"> SR Differences: Ghem 2-1 vs.  0-0, Machado 2-0 vs.  0-0, Junqueira 2-0 vs.  0-0, Gaio 2-0 vs.  0-0, PODLIPBIK-CASTILLO 2-0 vs.  0-0, Duran 2-1 vs.  0-0, Michon 2-0 vs.  0-0, gonzalez 2-0 vs.  0-0, pereira 2-0 vs.  0-0, collinari 2-0 vs.  0-0, giner 2-0 vs.  0-0, galdon 2-0 vs.  0-0, lobkov 2-0 vs.  0-0, santos 2-0 vs.  0-0, santos 2-0 vs.  0-0, lojda 2-0 vs.  0-0, </v>
      </c>
      <c r="V20" s="97">
        <f>VLOOKUP(1,X20:Y35,2,0)</f>
        <v>2</v>
      </c>
      <c r="X20" s="95">
        <f t="shared" ref="X20:X35" si="14">R20</f>
        <v>1</v>
      </c>
      <c r="Y20" s="95">
        <f t="shared" ref="Y20:Y35" si="15">IF(Q20=1,IF(S20=1,4,3),IF(H20="2-1",2,1))</f>
        <v>2</v>
      </c>
      <c r="Z20" s="95">
        <f t="shared" ref="Z20:Z35" si="16">IF(AND($I$2=J20,B20=0),1,0)</f>
        <v>0</v>
      </c>
    </row>
    <row r="21" spans="1:26">
      <c r="A21" s="95">
        <v>2</v>
      </c>
      <c r="B21" s="95" t="str">
        <f>Singles!B96</f>
        <v>MACHADO 6-2 6-0</v>
      </c>
      <c r="C21" s="100" t="str">
        <f>IF(OR(LEFT(B21,LEN(B$3))=B$3,LEFT(B21,LEN(C$3))=C$3,LEN(B21)&lt;2),"","Wrong pick")</f>
        <v/>
      </c>
      <c r="D21" s="95">
        <f t="shared" ca="1" si="6"/>
        <v>1</v>
      </c>
      <c r="G21" s="95" t="str">
        <f>IF(B21=0,"",IF(LEFT(B21,LEN(B$3))=B$3,B$3,C$3))</f>
        <v>Machado</v>
      </c>
      <c r="H21" s="95" t="str">
        <f t="shared" si="7"/>
        <v>2-0</v>
      </c>
      <c r="I21" s="95" t="str">
        <f ca="1">IF(AND(J21=Singles!$H$21,INDIRECT(ADDRESS(A21+1,6,1))=0,NOT(INDIRECT(ADDRESS(A21+1,5,1))="")),IF(D21=0,IF(H21=H39,"",G21&amp;" "&amp;H21&amp;" v "&amp;H39&amp;", "),G21&amp;" "&amp;H21&amp;" vs. "&amp;G39&amp;" "&amp;H39&amp;", "),"")</f>
        <v xml:space="preserve">Machado 2-0 vs.  0-0, </v>
      </c>
      <c r="J21" s="97">
        <f>Singles!H$4</f>
        <v>1</v>
      </c>
      <c r="K21" s="95" t="str">
        <f t="shared" si="8"/>
        <v>PTS</v>
      </c>
      <c r="L21" s="95" t="str">
        <f t="shared" si="9"/>
        <v>6-2 6-0</v>
      </c>
      <c r="M21" s="95" t="str">
        <f t="shared" si="10"/>
        <v>62 60</v>
      </c>
      <c r="N21" s="95" t="str">
        <f t="shared" si="11"/>
        <v>62 60</v>
      </c>
      <c r="O21" s="95" t="str">
        <f t="shared" si="12"/>
        <v>62 60</v>
      </c>
      <c r="P21" s="95" t="str">
        <f t="shared" si="13"/>
        <v>62 60</v>
      </c>
      <c r="Q21" s="95">
        <f>IF(AND(G21=T$3,LEN(G21)&gt;1),1,0)</f>
        <v>0</v>
      </c>
      <c r="R21" s="97">
        <f>Singles!D$4</f>
        <v>2</v>
      </c>
      <c r="S21" s="95">
        <f>IF(AND(H21=H$3,LEN(H21)&gt;1,Q21=1),1,0)</f>
        <v>0</v>
      </c>
      <c r="T21" s="95" t="str">
        <f ca="1">IF(T22&gt;0,LEFT(E20,LEN(E20)-2)&amp;" vs. "&amp;LEFT(E38,LEN(E38)-2),IF(SUMIF(Singles!$H$3:$H$18,"="&amp;Singles!$H$21,Singles!$I$3:$I$18)=0,"Same winners;",""))</f>
        <v xml:space="preserve">Ghem, Machado, Junqueira, Gaio, PODLIPBIK-CASTILLO, Duran, Michon, gonzalez, pereira, collinari, giner, galdon, lobkov, santos, santos, lojda vs. , , , , , , , , , , , , , , , </v>
      </c>
      <c r="V21" s="97">
        <f>VLOOKUP(2,X20:Y35,2,0)</f>
        <v>1</v>
      </c>
      <c r="X21" s="95">
        <f t="shared" si="14"/>
        <v>2</v>
      </c>
      <c r="Y21" s="95">
        <f t="shared" si="15"/>
        <v>1</v>
      </c>
      <c r="Z21" s="95">
        <f t="shared" si="16"/>
        <v>0</v>
      </c>
    </row>
    <row r="22" spans="1:26">
      <c r="A22" s="95">
        <v>3</v>
      </c>
      <c r="B22" s="95" t="str">
        <f>Singles!B97</f>
        <v>JUNQUEIRA 6-4 6-3</v>
      </c>
      <c r="C22" s="100" t="str">
        <f>IF(OR(LEFT(B22,LEN(B$4))=B$4,LEFT(B22,LEN(C$4))=C$4,LEN(B22)&lt;2),"","Wrong pick")</f>
        <v/>
      </c>
      <c r="D22" s="95">
        <f t="shared" ca="1" si="6"/>
        <v>1</v>
      </c>
      <c r="G22" s="95" t="str">
        <f>IF(B22=0,"",IF(LEFT(B22,LEN(B$4))=B$4,B$4,C$4))</f>
        <v>Junqueira</v>
      </c>
      <c r="H22" s="95" t="str">
        <f t="shared" si="7"/>
        <v>2-0</v>
      </c>
      <c r="I22" s="95" t="str">
        <f ca="1">IF(AND(J22=Singles!$H$21,INDIRECT(ADDRESS(A22+1,6,1))=0,NOT(INDIRECT(ADDRESS(A22+1,5,1))="")),IF(D22=0,IF(H22=H40,"",G22&amp;" "&amp;H22&amp;" v "&amp;H40&amp;", "),G22&amp;" "&amp;H22&amp;" vs. "&amp;G40&amp;" "&amp;H40&amp;", "),"")</f>
        <v xml:space="preserve">Junqueira 2-0 vs.  0-0, </v>
      </c>
      <c r="J22" s="97">
        <f>Singles!H$5</f>
        <v>1</v>
      </c>
      <c r="K22" s="95" t="str">
        <f t="shared" si="8"/>
        <v>PTS</v>
      </c>
      <c r="L22" s="95" t="str">
        <f t="shared" si="9"/>
        <v>6-4 6-3</v>
      </c>
      <c r="M22" s="95" t="str">
        <f t="shared" si="10"/>
        <v>64 63</v>
      </c>
      <c r="N22" s="95" t="str">
        <f t="shared" si="11"/>
        <v>64 63</v>
      </c>
      <c r="O22" s="95" t="str">
        <f t="shared" si="12"/>
        <v>64 63</v>
      </c>
      <c r="P22" s="95" t="str">
        <f t="shared" si="13"/>
        <v>64 63</v>
      </c>
      <c r="Q22" s="95">
        <f>IF(AND(G22=T$4,LEN(G22)&gt;1),1,0)</f>
        <v>0</v>
      </c>
      <c r="R22" s="97">
        <f>Singles!D$5</f>
        <v>3</v>
      </c>
      <c r="S22" s="95">
        <f>IF(AND(H22=H$4,LEN(H22)&gt;1,Q22=1),1,0)</f>
        <v>0</v>
      </c>
      <c r="T22" s="101">
        <f ca="1">SUMIF(J20:J35,$I$2,D20:D35)</f>
        <v>16</v>
      </c>
      <c r="V22" s="97">
        <f>VLOOKUP(3,X20:Y35,2,0)</f>
        <v>1</v>
      </c>
      <c r="X22" s="95">
        <f t="shared" si="14"/>
        <v>3</v>
      </c>
      <c r="Y22" s="95">
        <f t="shared" si="15"/>
        <v>1</v>
      </c>
      <c r="Z22" s="95">
        <f t="shared" si="16"/>
        <v>0</v>
      </c>
    </row>
    <row r="23" spans="1:26">
      <c r="A23" s="95">
        <v>4</v>
      </c>
      <c r="B23" s="95" t="str">
        <f>Singles!B98</f>
        <v>GAIO 6-4 7-6</v>
      </c>
      <c r="C23" s="100" t="str">
        <f>IF(OR(LEFT(B23,LEN(B$5))=B$5,LEFT(B23,LEN(C$5))=C$5,LEN(B23)&lt;2),"","Wrong pick")</f>
        <v/>
      </c>
      <c r="D23" s="95">
        <f t="shared" ca="1" si="6"/>
        <v>1</v>
      </c>
      <c r="G23" s="95" t="str">
        <f>IF(B23=0,"",IF(LEFT(B23,LEN(B$5))=B$5,B$5,C$5))</f>
        <v>Gaio</v>
      </c>
      <c r="H23" s="95" t="str">
        <f t="shared" si="7"/>
        <v>2-0</v>
      </c>
      <c r="I23" s="95" t="str">
        <f ca="1">IF(AND(J23=Singles!$H$21,INDIRECT(ADDRESS(A23+1,6,1))=0,NOT(INDIRECT(ADDRESS(A23+1,5,1))="")),IF(D23=0,IF(H23=H41,"",G23&amp;" "&amp;H23&amp;" v "&amp;H41&amp;", "),G23&amp;" "&amp;H23&amp;" vs. "&amp;G41&amp;" "&amp;H41&amp;", "),"")</f>
        <v xml:space="preserve">Gaio 2-0 vs.  0-0, </v>
      </c>
      <c r="J23" s="97">
        <f>Singles!H$6</f>
        <v>1</v>
      </c>
      <c r="K23" s="95" t="str">
        <f t="shared" si="8"/>
        <v>PTS</v>
      </c>
      <c r="L23" s="95" t="str">
        <f t="shared" si="9"/>
        <v>6-4 7-6</v>
      </c>
      <c r="M23" s="95" t="str">
        <f t="shared" si="10"/>
        <v>64 76</v>
      </c>
      <c r="N23" s="95" t="str">
        <f t="shared" si="11"/>
        <v>64 76</v>
      </c>
      <c r="O23" s="95" t="str">
        <f t="shared" si="12"/>
        <v>64 76</v>
      </c>
      <c r="P23" s="95" t="str">
        <f t="shared" si="13"/>
        <v>64 76</v>
      </c>
      <c r="Q23" s="95">
        <f>IF(AND(G23=T$5,LEN(G23)&gt;1),1,0)</f>
        <v>0</v>
      </c>
      <c r="R23" s="97">
        <f>Singles!D$6</f>
        <v>4</v>
      </c>
      <c r="S23" s="95">
        <f>IF(AND(H23=H$5,LEN(H23)&gt;1,Q23=1),1,0)</f>
        <v>0</v>
      </c>
      <c r="T23" s="102" t="str">
        <f>IF(T25&lt;10,"0","")&amp;T25&amp;":"&amp;IF(T26&lt;10,"0","")&amp;T26&amp;" | [b]"&amp;IF(LEN(U23)&gt;0,U23,T19&amp;"[/b] vs. [b]"&amp;T37&amp;"[/b]"&amp;IF(Singles!$H$21&gt;1," (SR "&amp;U25&amp;":"&amp;U26&amp;")","")&amp;" - "&amp;IF(COUNTIF(C20:C53,"=Wrong Pick")&gt;0,"Incorrect pick, probably a spelling mistake",IF(AND(F20="",F38=""),T21&amp;IF(AND(OR(AND(Singles!$H$20&gt;1,Singles!$H$21&lt;Singles!$H$20),MOD(T22+T25+T26,2)=0),NOT(Singles!$H$23="No")),LEFT(T20,LEN(T20)-2),""),F20&amp;F38)))</f>
        <v xml:space="preserve">00:00 | [b](1) Sauletekis (POR)[/b] vs. [b]gabrieltufao (BRA)[/b] - Missing picks from gabrieltufao </v>
      </c>
      <c r="U23" s="95" t="str">
        <f>IF(B19="Bye","Bye[/b] vs. [b][color=blue]"&amp;T37&amp;"[/color][/b]",IF(B37="Bye","[color=blue]"&amp;T19&amp;"[/color][/b] vs. [b]Bye[/b]",""))</f>
        <v/>
      </c>
      <c r="V23" s="97">
        <f>VLOOKUP(4,X20:Y35,2,0)</f>
        <v>1</v>
      </c>
      <c r="X23" s="95">
        <f t="shared" si="14"/>
        <v>4</v>
      </c>
      <c r="Y23" s="95">
        <f t="shared" si="15"/>
        <v>1</v>
      </c>
      <c r="Z23" s="95">
        <f t="shared" si="16"/>
        <v>0</v>
      </c>
    </row>
    <row r="24" spans="1:26">
      <c r="A24" s="95">
        <v>5</v>
      </c>
      <c r="B24" s="95" t="str">
        <f>Singles!B99</f>
        <v>PODLIPBIK-CASTILLO 6-0 6-0</v>
      </c>
      <c r="C24" s="100" t="str">
        <f>IF(OR(LEFT(B24,LEN(B$6))=B$6,LEFT(B24,LEN(C$6))=C$6,LEN(B24)&lt;2),"","Wrong pick")</f>
        <v/>
      </c>
      <c r="D24" s="95">
        <f t="shared" ca="1" si="6"/>
        <v>1</v>
      </c>
      <c r="G24" s="95" t="str">
        <f>IF(B24=0,"",IF(LEFT(B24,LEN(B$6))=B$6,B$6,C$6))</f>
        <v>PODLIPBIK-CASTILLO</v>
      </c>
      <c r="H24" s="95" t="str">
        <f t="shared" si="7"/>
        <v>2-0</v>
      </c>
      <c r="I24" s="95" t="str">
        <f ca="1">IF(AND(J24=Singles!$H$21,INDIRECT(ADDRESS(A24+1,6,1))=0,NOT(INDIRECT(ADDRESS(A24+1,5,1))="")),IF(D24=0,IF(H24=H42,"",G24&amp;" "&amp;H24&amp;" v "&amp;H42&amp;", "),G24&amp;" "&amp;H24&amp;" vs. "&amp;G42&amp;" "&amp;H42&amp;", "),"")</f>
        <v xml:space="preserve">PODLIPBIK-CASTILLO 2-0 vs.  0-0, </v>
      </c>
      <c r="J24" s="97">
        <f>Singles!H$7</f>
        <v>1</v>
      </c>
      <c r="K24" s="95" t="str">
        <f t="shared" si="8"/>
        <v>PTS</v>
      </c>
      <c r="L24" s="95" t="str">
        <f t="shared" si="9"/>
        <v>6-0 6-0</v>
      </c>
      <c r="M24" s="95" t="str">
        <f t="shared" si="10"/>
        <v>60 60</v>
      </c>
      <c r="N24" s="95" t="str">
        <f t="shared" si="11"/>
        <v>60 60</v>
      </c>
      <c r="O24" s="95" t="str">
        <f t="shared" si="12"/>
        <v>60 60</v>
      </c>
      <c r="P24" s="95" t="str">
        <f t="shared" si="13"/>
        <v>60 60</v>
      </c>
      <c r="Q24" s="95">
        <f>IF(AND(G24=T$6,LEN(G24)&gt;1),1,0)</f>
        <v>0</v>
      </c>
      <c r="R24" s="97">
        <f>Singles!D$7</f>
        <v>5</v>
      </c>
      <c r="S24" s="95">
        <f>IF(AND(H24=H$6,LEN(H24)&gt;1,Q24=1),1,0)</f>
        <v>0</v>
      </c>
      <c r="T24" s="103" t="str">
        <f>IF(Singles!$H$22=$F$18,IF(T25&gt;T26,B19,IF(T25&lt;T26,B37,IF(U25&gt;U26,B19,IF(U25&lt;U26,B37,T28)))),"No decision yet")</f>
        <v>No decision yet</v>
      </c>
      <c r="U24" s="104" t="str">
        <f>IF(T25&lt;10,"0","")&amp;T25&amp;":"&amp;IF(T26&lt;10,"0","")&amp;T26&amp;" | "&amp;IF(AND(A19&gt;0,A19&lt;33,B19=T24),"[b][color=Blue]"&amp;T19&amp;"[/color][/b]",IF(B19=T24,"[color=Blue]"&amp;T19&amp;"[/color]",IF(AND(A19&gt;0,A19&lt;33),"[b]"&amp;T19&amp;"[/b]",T19)))&amp;" vs. "&amp;IF(AND(A37&gt;0,A37&lt;33,B37=T24),"[b][color=Blue]"&amp;T37&amp;"[/color][/b]",IF(B37=T24,"[color=Blue]"&amp;T37&amp;"[/color]",IF(AND(A37&gt;0,A37&lt;33),"[b]"&amp;T37&amp;"[/b]",T37)))&amp;IF(OR(Singles!$B$40="yes",T25=T26)," #SRs: "&amp;U25&amp;"-"&amp;U26,"")&amp;IF(AND(T25=T26,U25=U26,U28&lt;17,Singles!$H$22=$F$18),", Shootout: SR"&amp;U28,"")</f>
        <v>00:00 | [b](1) Sauletekis (POR)[/b] vs. gabrieltufao (BRA) #SRs: 0-0</v>
      </c>
      <c r="V24" s="97">
        <f>VLOOKUP(5,X20:Y35,2,0)</f>
        <v>1</v>
      </c>
      <c r="X24" s="95">
        <f t="shared" si="14"/>
        <v>5</v>
      </c>
      <c r="Y24" s="95">
        <f t="shared" si="15"/>
        <v>1</v>
      </c>
      <c r="Z24" s="95">
        <f t="shared" si="16"/>
        <v>0</v>
      </c>
    </row>
    <row r="25" spans="1:26">
      <c r="A25" s="95">
        <v>6</v>
      </c>
      <c r="B25" s="95" t="str">
        <f>Singles!B100</f>
        <v>DURAN 6-4 4-6 6-2</v>
      </c>
      <c r="C25" s="100" t="str">
        <f>IF(OR(LEFT(B25,LEN(B$7))=B$7,LEFT(B25,LEN(C$7))=C$7,LEN(B25)&lt;2),"","Wrong pick")</f>
        <v/>
      </c>
      <c r="D25" s="95">
        <f t="shared" ca="1" si="6"/>
        <v>1</v>
      </c>
      <c r="G25" s="95" t="str">
        <f>IF(B25=0,"",IF(LEFT(B25,LEN(B$7))=B$7,B$7,C$7))</f>
        <v>Duran</v>
      </c>
      <c r="H25" s="95" t="str">
        <f t="shared" si="7"/>
        <v>2-1</v>
      </c>
      <c r="I25" s="95" t="str">
        <f ca="1">IF(AND(J25=Singles!$H$21,INDIRECT(ADDRESS(A25+1,6,1))=0,NOT(INDIRECT(ADDRESS(A25+1,5,1))="")),IF(D25=0,IF(H25=H43,"",G25&amp;" "&amp;H25&amp;" v "&amp;H43&amp;", "),G25&amp;" "&amp;H25&amp;" vs. "&amp;G43&amp;" "&amp;H43&amp;", "),"")</f>
        <v xml:space="preserve">Duran 2-1 vs.  0-0, </v>
      </c>
      <c r="J25" s="97">
        <f>Singles!H$8</f>
        <v>1</v>
      </c>
      <c r="K25" s="95" t="str">
        <f t="shared" si="8"/>
        <v>PTS</v>
      </c>
      <c r="L25" s="95" t="str">
        <f t="shared" si="9"/>
        <v>6-4 4-6 6-2</v>
      </c>
      <c r="M25" s="95" t="str">
        <f t="shared" si="10"/>
        <v>64 46 62</v>
      </c>
      <c r="N25" s="95" t="str">
        <f t="shared" si="11"/>
        <v>64 46 62</v>
      </c>
      <c r="O25" s="95" t="str">
        <f t="shared" si="12"/>
        <v>64 46 62</v>
      </c>
      <c r="P25" s="95" t="str">
        <f t="shared" si="13"/>
        <v>64 46 62</v>
      </c>
      <c r="Q25" s="95">
        <f>IF(AND(G25=T$7,LEN(G25)&gt;1),1,0)</f>
        <v>0</v>
      </c>
      <c r="R25" s="97">
        <f>Singles!D$8</f>
        <v>6</v>
      </c>
      <c r="S25" s="95">
        <f>IF(AND(H25=H$7,LEN(H25)&gt;1,Q25=1),1,0)</f>
        <v>0</v>
      </c>
      <c r="T25" s="105">
        <f>SUM(Q20:Q35)</f>
        <v>0</v>
      </c>
      <c r="U25" s="97">
        <f>SUM(S20:S35)</f>
        <v>0</v>
      </c>
      <c r="V25" s="97">
        <f>VLOOKUP(6,X20:Y35,2,0)</f>
        <v>2</v>
      </c>
      <c r="X25" s="95">
        <f t="shared" si="14"/>
        <v>6</v>
      </c>
      <c r="Y25" s="95">
        <f t="shared" si="15"/>
        <v>2</v>
      </c>
      <c r="Z25" s="95">
        <f t="shared" si="16"/>
        <v>0</v>
      </c>
    </row>
    <row r="26" spans="1:26">
      <c r="A26" s="95">
        <v>7</v>
      </c>
      <c r="B26" s="95" t="str">
        <f>Singles!B101</f>
        <v>MICHON 6-4 6-3</v>
      </c>
      <c r="C26" s="100" t="str">
        <f>IF(OR(LEFT(B26,LEN(B$8))=B$8,LEFT(B26,LEN(C$8))=C$8,LEN(B26)&lt;2),"","Wrong pick")</f>
        <v/>
      </c>
      <c r="D26" s="95">
        <f t="shared" ca="1" si="6"/>
        <v>1</v>
      </c>
      <c r="G26" s="95" t="str">
        <f>IF(B26=0,"",IF(LEFT(B26,LEN(B$8))=B$8,B$8,C$8))</f>
        <v>Michon</v>
      </c>
      <c r="H26" s="95" t="str">
        <f t="shared" si="7"/>
        <v>2-0</v>
      </c>
      <c r="I26" s="95" t="str">
        <f ca="1">IF(AND(J26=Singles!$H$21,INDIRECT(ADDRESS(A26+1,6,1))=0,NOT(INDIRECT(ADDRESS(A26+1,5,1))="")),IF(D26=0,IF(H26=H44,"",G26&amp;" "&amp;H26&amp;" v "&amp;H44&amp;", "),G26&amp;" "&amp;H26&amp;" vs. "&amp;G44&amp;" "&amp;H44&amp;", "),"")</f>
        <v xml:space="preserve">Michon 2-0 vs.  0-0, </v>
      </c>
      <c r="J26" s="97">
        <f>Singles!H$9</f>
        <v>1</v>
      </c>
      <c r="K26" s="95" t="str">
        <f t="shared" si="8"/>
        <v>PTS</v>
      </c>
      <c r="L26" s="95" t="str">
        <f t="shared" si="9"/>
        <v>6-4 6-3</v>
      </c>
      <c r="M26" s="95" t="str">
        <f t="shared" si="10"/>
        <v>64 63</v>
      </c>
      <c r="N26" s="95" t="str">
        <f t="shared" si="11"/>
        <v>64 63</v>
      </c>
      <c r="O26" s="95" t="str">
        <f t="shared" si="12"/>
        <v>64 63</v>
      </c>
      <c r="P26" s="95" t="str">
        <f t="shared" si="13"/>
        <v>64 63</v>
      </c>
      <c r="Q26" s="95">
        <f>IF(AND(G26=T$8,LEN(G26)&gt;1),1,0)</f>
        <v>0</v>
      </c>
      <c r="R26" s="97">
        <f>Singles!D$9</f>
        <v>7</v>
      </c>
      <c r="S26" s="95">
        <f>IF(AND(H26=H$8,LEN(H26)&gt;1,Q26=1),1,0)</f>
        <v>0</v>
      </c>
      <c r="T26" s="105">
        <f>SUM(Q38:Q53)</f>
        <v>0</v>
      </c>
      <c r="U26" s="97">
        <f>SUM(S38:S53)</f>
        <v>0</v>
      </c>
      <c r="V26" s="97">
        <f>VLOOKUP(7,X20:Y35,2,0)</f>
        <v>1</v>
      </c>
      <c r="X26" s="95">
        <f t="shared" si="14"/>
        <v>7</v>
      </c>
      <c r="Y26" s="95">
        <f t="shared" si="15"/>
        <v>1</v>
      </c>
      <c r="Z26" s="95">
        <f t="shared" si="16"/>
        <v>0</v>
      </c>
    </row>
    <row r="27" spans="1:26">
      <c r="A27" s="95">
        <v>8</v>
      </c>
      <c r="B27" s="95" t="str">
        <f>Singles!B102</f>
        <v>GONZALEZ 6-4 6-2</v>
      </c>
      <c r="C27" s="100" t="str">
        <f>IF(OR(LEFT(B27,LEN(B$9))=B$9,LEFT(B27,LEN(C$9))=C$9,LEN(B27)&lt;2),"","Wrong pick")</f>
        <v/>
      </c>
      <c r="D27" s="95">
        <f t="shared" ca="1" si="6"/>
        <v>1</v>
      </c>
      <c r="G27" s="95" t="str">
        <f>IF(B27=0,"",IF(LEFT(B27,LEN(B$9))=B$9,B$9,C$9))</f>
        <v>gonzalez</v>
      </c>
      <c r="H27" s="95" t="str">
        <f t="shared" si="7"/>
        <v>2-0</v>
      </c>
      <c r="I27" s="95" t="str">
        <f ca="1">IF(AND(J27=Singles!$H$21,INDIRECT(ADDRESS(A27+1,6,1))=0,NOT(INDIRECT(ADDRESS(A27+1,5,1))="")),IF(D27=0,IF(H27=H45,"",G27&amp;" "&amp;H27&amp;" v "&amp;H45&amp;", "),G27&amp;" "&amp;H27&amp;" vs. "&amp;G45&amp;" "&amp;H45&amp;", "),"")</f>
        <v xml:space="preserve">gonzalez 2-0 vs.  0-0, </v>
      </c>
      <c r="J27" s="97">
        <f>Singles!H$10</f>
        <v>1</v>
      </c>
      <c r="K27" s="95" t="str">
        <f t="shared" si="8"/>
        <v>PTS</v>
      </c>
      <c r="L27" s="95" t="str">
        <f t="shared" si="9"/>
        <v>6-4 6-2</v>
      </c>
      <c r="M27" s="95" t="str">
        <f t="shared" si="10"/>
        <v>64 62</v>
      </c>
      <c r="N27" s="95" t="str">
        <f t="shared" si="11"/>
        <v>64 62</v>
      </c>
      <c r="O27" s="95" t="str">
        <f t="shared" si="12"/>
        <v>64 62</v>
      </c>
      <c r="P27" s="95" t="str">
        <f t="shared" si="13"/>
        <v>64 62</v>
      </c>
      <c r="Q27" s="95">
        <f>IF(AND(G27=T$9,LEN(G27)&gt;1),1,0)</f>
        <v>0</v>
      </c>
      <c r="R27" s="97">
        <f>Singles!D$10</f>
        <v>8</v>
      </c>
      <c r="S27" s="95">
        <f>IF(AND(H27=H$9,LEN(H27)&gt;1,Q27=1),1,0)</f>
        <v>0</v>
      </c>
      <c r="V27" s="97">
        <f>VLOOKUP(8,X20:Y35,2,0)</f>
        <v>1</v>
      </c>
      <c r="X27" s="95">
        <f t="shared" si="14"/>
        <v>8</v>
      </c>
      <c r="Y27" s="95">
        <f t="shared" si="15"/>
        <v>1</v>
      </c>
      <c r="Z27" s="95">
        <f t="shared" si="16"/>
        <v>0</v>
      </c>
    </row>
    <row r="28" spans="1:26">
      <c r="A28" s="95">
        <v>9</v>
      </c>
      <c r="B28" s="95" t="str">
        <f>Singles!B103</f>
        <v>PEREIRA 6-3 6-2</v>
      </c>
      <c r="C28" s="100" t="str">
        <f>IF(OR(LEFT(B28,LEN(B$10))=B$10,LEFT(B28,LEN(C$10))=C$10,LEN(B28)&lt;2),"","Wrong pick")</f>
        <v/>
      </c>
      <c r="D28" s="95">
        <f t="shared" ca="1" si="6"/>
        <v>1</v>
      </c>
      <c r="G28" s="95" t="str">
        <f>IF(B28=0,"",IF(LEFT(B28,LEN(B$10))=B$10,B$10,C$10))</f>
        <v>pereira</v>
      </c>
      <c r="H28" s="95" t="str">
        <f t="shared" si="7"/>
        <v>2-0</v>
      </c>
      <c r="I28" s="95" t="str">
        <f ca="1">IF(AND(J28=Singles!$H$21,INDIRECT(ADDRESS(A28+1,6,1))=0,NOT(INDIRECT(ADDRESS(A28+1,5,1))="")),IF(D28=0,IF(H28=H46,"",G28&amp;" "&amp;H28&amp;" v "&amp;H46&amp;", "),G28&amp;" "&amp;H28&amp;" vs. "&amp;G46&amp;" "&amp;H46&amp;", "),"")</f>
        <v xml:space="preserve">pereira 2-0 vs.  0-0, </v>
      </c>
      <c r="J28" s="97">
        <f>Singles!H$11</f>
        <v>1</v>
      </c>
      <c r="K28" s="95" t="str">
        <f t="shared" si="8"/>
        <v>PTS</v>
      </c>
      <c r="L28" s="95" t="str">
        <f t="shared" si="9"/>
        <v>6-3 6-2</v>
      </c>
      <c r="M28" s="95" t="str">
        <f t="shared" si="10"/>
        <v>63 62</v>
      </c>
      <c r="N28" s="95" t="str">
        <f t="shared" si="11"/>
        <v>63 62</v>
      </c>
      <c r="O28" s="95" t="str">
        <f t="shared" si="12"/>
        <v>63 62</v>
      </c>
      <c r="P28" s="95" t="str">
        <f t="shared" si="13"/>
        <v>63 62</v>
      </c>
      <c r="Q28" s="95">
        <f>IF(AND(G28=T$10,LEN(G28)&gt;1),1,0)</f>
        <v>0</v>
      </c>
      <c r="R28" s="97">
        <f>Singles!D$11</f>
        <v>9</v>
      </c>
      <c r="S28" s="95">
        <f>IF(AND(H28=H$10,LEN(H28)&gt;1,Q28=1),1,0)</f>
        <v>0</v>
      </c>
      <c r="T28" s="95" t="str">
        <f>VLOOKUP("Winner",T38:U54,2,0)</f>
        <v>Sauletekis</v>
      </c>
      <c r="U28" s="95">
        <f>VLOOKUP(T28,U38:W54,3,0)</f>
        <v>1</v>
      </c>
      <c r="V28" s="97">
        <f>VLOOKUP(9,X20:Y35,2,0)</f>
        <v>1</v>
      </c>
      <c r="X28" s="95">
        <f t="shared" si="14"/>
        <v>9</v>
      </c>
      <c r="Y28" s="95">
        <f t="shared" si="15"/>
        <v>1</v>
      </c>
      <c r="Z28" s="95">
        <f t="shared" si="16"/>
        <v>0</v>
      </c>
    </row>
    <row r="29" spans="1:26">
      <c r="A29" s="95">
        <v>10</v>
      </c>
      <c r="B29" s="95" t="str">
        <f>Singles!B104</f>
        <v>COLLINARI 6-3 6-4</v>
      </c>
      <c r="C29" s="100" t="str">
        <f>IF(OR(LEFT(B29,LEN(B$11))=B$11,LEFT(B29,LEN(C$11))=C$11,LEN(B29)&lt;2),"","Wrong pick")</f>
        <v/>
      </c>
      <c r="D29" s="95">
        <f t="shared" ca="1" si="6"/>
        <v>1</v>
      </c>
      <c r="G29" s="95" t="str">
        <f>IF(B29=0,"",IF(LEFT(B29,LEN(B$11))=B$11,B$11,C$11))</f>
        <v>collinari</v>
      </c>
      <c r="H29" s="95" t="str">
        <f t="shared" si="7"/>
        <v>2-0</v>
      </c>
      <c r="I29" s="95" t="str">
        <f ca="1">IF(AND(J29=Singles!$H$21,INDIRECT(ADDRESS(A29+1,6,1))=0,NOT(INDIRECT(ADDRESS(A29+1,5,1))="")),IF(D29=0,IF(H29=H47,"",G29&amp;" "&amp;H29&amp;" v "&amp;H47&amp;", "),G29&amp;" "&amp;H29&amp;" vs. "&amp;G47&amp;" "&amp;H47&amp;", "),"")</f>
        <v xml:space="preserve">collinari 2-0 vs.  0-0, </v>
      </c>
      <c r="J29" s="97">
        <f>Singles!H$12</f>
        <v>1</v>
      </c>
      <c r="K29" s="95" t="str">
        <f t="shared" si="8"/>
        <v>PTS</v>
      </c>
      <c r="L29" s="95" t="str">
        <f t="shared" si="9"/>
        <v>6-3 6-4</v>
      </c>
      <c r="M29" s="95" t="str">
        <f t="shared" si="10"/>
        <v>63 64</v>
      </c>
      <c r="N29" s="95" t="str">
        <f t="shared" si="11"/>
        <v>63 64</v>
      </c>
      <c r="O29" s="95" t="str">
        <f t="shared" si="12"/>
        <v>63 64</v>
      </c>
      <c r="P29" s="95" t="str">
        <f t="shared" si="13"/>
        <v>63 64</v>
      </c>
      <c r="Q29" s="95">
        <f>IF(AND(G29=T$11,LEN(G29)&gt;1),1,0)</f>
        <v>0</v>
      </c>
      <c r="R29" s="97">
        <f>Singles!D$12</f>
        <v>10</v>
      </c>
      <c r="S29" s="95">
        <f>IF(AND(H29=H$11,LEN(H29)&gt;1,Q29=1),1,0)</f>
        <v>0</v>
      </c>
      <c r="V29" s="97">
        <f>VLOOKUP(10,X20:Y35,2,0)</f>
        <v>1</v>
      </c>
      <c r="X29" s="95">
        <f t="shared" si="14"/>
        <v>10</v>
      </c>
      <c r="Y29" s="95">
        <f t="shared" si="15"/>
        <v>1</v>
      </c>
      <c r="Z29" s="95">
        <f t="shared" si="16"/>
        <v>0</v>
      </c>
    </row>
    <row r="30" spans="1:26">
      <c r="A30" s="95">
        <v>11</v>
      </c>
      <c r="B30" s="95" t="str">
        <f>Singles!B105</f>
        <v>GINER 6-4 6-2</v>
      </c>
      <c r="C30" s="100" t="str">
        <f>IF(OR(LEFT(B30,LEN(B$12))=B$12,LEFT(B30,LEN(C$12))=C$12,LEN(B30)&lt;2),"","Wrong pick")</f>
        <v/>
      </c>
      <c r="D30" s="95">
        <f t="shared" ca="1" si="6"/>
        <v>1</v>
      </c>
      <c r="G30" s="95" t="str">
        <f>IF(B30=0,"",IF(LEFT(B30,LEN(B$12))=B$12,B$12,C$12))</f>
        <v>giner</v>
      </c>
      <c r="H30" s="95" t="str">
        <f t="shared" si="7"/>
        <v>2-0</v>
      </c>
      <c r="I30" s="95" t="str">
        <f ca="1">IF(AND(J30=Singles!$H$21,INDIRECT(ADDRESS(A30+1,6,1))=0,NOT(INDIRECT(ADDRESS(A30+1,5,1))="")),IF(D30=0,IF(H30=H48,"",G30&amp;" "&amp;H30&amp;" v "&amp;H48&amp;", "),G30&amp;" "&amp;H30&amp;" vs. "&amp;G48&amp;" "&amp;H48&amp;", "),"")</f>
        <v xml:space="preserve">giner 2-0 vs.  0-0, </v>
      </c>
      <c r="J30" s="97">
        <f>Singles!H$13</f>
        <v>1</v>
      </c>
      <c r="K30" s="95" t="str">
        <f t="shared" si="8"/>
        <v>PTS</v>
      </c>
      <c r="L30" s="95" t="str">
        <f t="shared" si="9"/>
        <v>6-4 6-2</v>
      </c>
      <c r="M30" s="95" t="str">
        <f t="shared" si="10"/>
        <v>64 62</v>
      </c>
      <c r="N30" s="95" t="str">
        <f t="shared" si="11"/>
        <v>64 62</v>
      </c>
      <c r="O30" s="95" t="str">
        <f t="shared" si="12"/>
        <v>64 62</v>
      </c>
      <c r="P30" s="95" t="str">
        <f t="shared" si="13"/>
        <v>64 62</v>
      </c>
      <c r="Q30" s="95">
        <f>IF(AND(G30=T$12,LEN(G30)&gt;1),1,0)</f>
        <v>0</v>
      </c>
      <c r="R30" s="97">
        <f>Singles!D$13</f>
        <v>11</v>
      </c>
      <c r="S30" s="95">
        <f>IF(AND(H30=H$12,LEN(H30)&gt;1,Q30=1),1,0)</f>
        <v>0</v>
      </c>
      <c r="V30" s="97">
        <f>VLOOKUP(11,X20:Y35,2,0)</f>
        <v>1</v>
      </c>
      <c r="X30" s="95">
        <f t="shared" si="14"/>
        <v>11</v>
      </c>
      <c r="Y30" s="95">
        <f t="shared" si="15"/>
        <v>1</v>
      </c>
      <c r="Z30" s="95">
        <f t="shared" si="16"/>
        <v>0</v>
      </c>
    </row>
    <row r="31" spans="1:26">
      <c r="A31" s="95">
        <v>12</v>
      </c>
      <c r="B31" s="95" t="str">
        <f>Singles!B106</f>
        <v>GALDON 7-6 6-4</v>
      </c>
      <c r="C31" s="100" t="str">
        <f>IF(OR(LEFT(B31,LEN(B$13))=B$13,LEFT(B31,LEN(C$13))=C$13,LEN(B31)&lt;2),"","Wrong pick")</f>
        <v/>
      </c>
      <c r="D31" s="95">
        <f t="shared" ca="1" si="6"/>
        <v>1</v>
      </c>
      <c r="G31" s="95" t="str">
        <f>IF(B31=0,"",IF(LEFT(B31,LEN(B$13))=B$13,B$13,C$13))</f>
        <v>galdon</v>
      </c>
      <c r="H31" s="95" t="str">
        <f t="shared" si="7"/>
        <v>2-0</v>
      </c>
      <c r="I31" s="95" t="str">
        <f ca="1">IF(AND(J31=Singles!$H$21,INDIRECT(ADDRESS(A31+1,6,1))=0,NOT(INDIRECT(ADDRESS(A31+1,5,1))="")),IF(D31=0,IF(H31=H49,"",G31&amp;" "&amp;H31&amp;" v "&amp;H49&amp;", "),G31&amp;" "&amp;H31&amp;" vs. "&amp;G49&amp;" "&amp;H49&amp;", "),"")</f>
        <v xml:space="preserve">galdon 2-0 vs.  0-0, </v>
      </c>
      <c r="J31" s="97">
        <f>Singles!H$14</f>
        <v>1</v>
      </c>
      <c r="K31" s="95" t="str">
        <f t="shared" si="8"/>
        <v>PTS</v>
      </c>
      <c r="L31" s="95" t="str">
        <f t="shared" si="9"/>
        <v>7-6 6-4</v>
      </c>
      <c r="M31" s="95" t="str">
        <f t="shared" si="10"/>
        <v>76 64</v>
      </c>
      <c r="N31" s="95" t="str">
        <f t="shared" si="11"/>
        <v>76 64</v>
      </c>
      <c r="O31" s="95" t="str">
        <f t="shared" si="12"/>
        <v>76 64</v>
      </c>
      <c r="P31" s="95" t="str">
        <f t="shared" si="13"/>
        <v>76 64</v>
      </c>
      <c r="Q31" s="95">
        <f>IF(AND(G31=T$13,LEN(G31)&gt;1),1,0)</f>
        <v>0</v>
      </c>
      <c r="R31" s="97">
        <f>Singles!D$14</f>
        <v>12</v>
      </c>
      <c r="S31" s="95">
        <f>IF(AND(H31=H$13,LEN(H31)&gt;1,Q31=1),1,0)</f>
        <v>0</v>
      </c>
      <c r="V31" s="97">
        <f>VLOOKUP(12,X20:Y35,2,0)</f>
        <v>1</v>
      </c>
      <c r="X31" s="95">
        <f t="shared" si="14"/>
        <v>12</v>
      </c>
      <c r="Y31" s="95">
        <f t="shared" si="15"/>
        <v>1</v>
      </c>
      <c r="Z31" s="95">
        <f t="shared" si="16"/>
        <v>0</v>
      </c>
    </row>
    <row r="32" spans="1:26">
      <c r="A32" s="95">
        <v>13</v>
      </c>
      <c r="B32" s="95" t="str">
        <f>Singles!B107</f>
        <v>LOBKOV 6-2 6-1</v>
      </c>
      <c r="C32" s="100" t="str">
        <f>IF(OR(LEFT(B32,LEN(B$14))=B$14,LEFT(B32,LEN(C$14))=C$14,LEN(B32)&lt;2),"","Wrong pick")</f>
        <v/>
      </c>
      <c r="D32" s="95">
        <f t="shared" ca="1" si="6"/>
        <v>1</v>
      </c>
      <c r="G32" s="95" t="str">
        <f>IF(B32=0,"",IF(LEFT(B32,LEN(B$14))=B$14,B$14,C$14))</f>
        <v>lobkov</v>
      </c>
      <c r="H32" s="95" t="str">
        <f t="shared" si="7"/>
        <v>2-0</v>
      </c>
      <c r="I32" s="95" t="str">
        <f ca="1">IF(AND(J32=Singles!$H$21,INDIRECT(ADDRESS(A32+1,6,1))=0,NOT(INDIRECT(ADDRESS(A32+1,5,1))="")),IF(D32=0,IF(H32=H50,"",G32&amp;" "&amp;H32&amp;" v "&amp;H50&amp;", "),G32&amp;" "&amp;H32&amp;" vs. "&amp;G50&amp;" "&amp;H50&amp;", "),"")</f>
        <v xml:space="preserve">lobkov 2-0 vs.  0-0, </v>
      </c>
      <c r="J32" s="97">
        <f>Singles!H$15</f>
        <v>1</v>
      </c>
      <c r="K32" s="95" t="str">
        <f t="shared" si="8"/>
        <v>PTS</v>
      </c>
      <c r="L32" s="95" t="str">
        <f t="shared" si="9"/>
        <v>6-2 6-1</v>
      </c>
      <c r="M32" s="95" t="str">
        <f t="shared" si="10"/>
        <v>62 61</v>
      </c>
      <c r="N32" s="95" t="str">
        <f t="shared" si="11"/>
        <v>62 61</v>
      </c>
      <c r="O32" s="95" t="str">
        <f t="shared" si="12"/>
        <v>62 61</v>
      </c>
      <c r="P32" s="95" t="str">
        <f t="shared" si="13"/>
        <v>62 61</v>
      </c>
      <c r="Q32" s="95">
        <f>IF(AND(G32=T$14,LEN(G32)&gt;1),1,0)</f>
        <v>0</v>
      </c>
      <c r="R32" s="97">
        <f>Singles!D$15</f>
        <v>13</v>
      </c>
      <c r="S32" s="95">
        <f>IF(AND(H32=H$14,LEN(H32)&gt;1,Q32=1),1,0)</f>
        <v>0</v>
      </c>
      <c r="V32" s="97">
        <f>VLOOKUP(13,X20:Y35,2,0)</f>
        <v>1</v>
      </c>
      <c r="X32" s="95">
        <f t="shared" si="14"/>
        <v>13</v>
      </c>
      <c r="Y32" s="95">
        <f t="shared" si="15"/>
        <v>1</v>
      </c>
      <c r="Z32" s="95">
        <f t="shared" si="16"/>
        <v>0</v>
      </c>
    </row>
    <row r="33" spans="1:26">
      <c r="A33" s="95">
        <v>14</v>
      </c>
      <c r="B33" s="95" t="str">
        <f>Singles!B108</f>
        <v>SANTOS 6-4 6-3</v>
      </c>
      <c r="C33" s="100" t="str">
        <f>IF(OR(LEFT(B33,LEN(B$15))=B$15,LEFT(B33,LEN(C$15))=C$15,LEN(B33)&lt;2),"","Wrong pick")</f>
        <v/>
      </c>
      <c r="D33" s="95">
        <f t="shared" ca="1" si="6"/>
        <v>1</v>
      </c>
      <c r="G33" s="95" t="str">
        <f>IF(B33=0,"",IF(LEFT(B33,LEN(B$15))=B$15,B$15,C$15))</f>
        <v>santos</v>
      </c>
      <c r="H33" s="95" t="str">
        <f t="shared" si="7"/>
        <v>2-0</v>
      </c>
      <c r="I33" s="95" t="str">
        <f ca="1">IF(AND(J33=Singles!$H$21,INDIRECT(ADDRESS(A33+1,6,1))=0,NOT(INDIRECT(ADDRESS(A33+1,5,1))="")),IF(D33=0,IF(H33=H51,"",G33&amp;" "&amp;H33&amp;" v "&amp;H51&amp;", "),G33&amp;" "&amp;H33&amp;" vs. "&amp;G51&amp;" "&amp;H51&amp;", "),"")</f>
        <v xml:space="preserve">santos 2-0 vs.  0-0, </v>
      </c>
      <c r="J33" s="97">
        <f>Singles!H$16</f>
        <v>1</v>
      </c>
      <c r="K33" s="95" t="str">
        <f t="shared" si="8"/>
        <v>PTS</v>
      </c>
      <c r="L33" s="95" t="str">
        <f t="shared" si="9"/>
        <v>6-4 6-3</v>
      </c>
      <c r="M33" s="95" t="str">
        <f t="shared" si="10"/>
        <v>64 63</v>
      </c>
      <c r="N33" s="95" t="str">
        <f t="shared" si="11"/>
        <v>64 63</v>
      </c>
      <c r="O33" s="95" t="str">
        <f t="shared" si="12"/>
        <v>64 63</v>
      </c>
      <c r="P33" s="95" t="str">
        <f t="shared" si="13"/>
        <v>64 63</v>
      </c>
      <c r="Q33" s="95">
        <f>IF(AND(G33=T$15,LEN(G33)&gt;1),1,0)</f>
        <v>0</v>
      </c>
      <c r="R33" s="97">
        <f>Singles!D$16</f>
        <v>14</v>
      </c>
      <c r="S33" s="95">
        <f>IF(AND(H33=H$15,LEN(H33)&gt;1,Q33=1),1,0)</f>
        <v>0</v>
      </c>
      <c r="V33" s="97">
        <f>VLOOKUP(14,X20:Y35,2,0)</f>
        <v>1</v>
      </c>
      <c r="X33" s="95">
        <f t="shared" si="14"/>
        <v>14</v>
      </c>
      <c r="Y33" s="95">
        <f t="shared" si="15"/>
        <v>1</v>
      </c>
      <c r="Z33" s="95">
        <f t="shared" si="16"/>
        <v>0</v>
      </c>
    </row>
    <row r="34" spans="1:26">
      <c r="A34" s="95">
        <v>15</v>
      </c>
      <c r="B34" s="95" t="str">
        <f>Singles!B109</f>
        <v>SANTOS 6-4 6-2</v>
      </c>
      <c r="C34" s="100" t="str">
        <f>IF(OR(LEFT(B34,LEN(B$16))=B$16,LEFT(B34,LEN(C$16))=C$16,LEN(B34)&lt;2),"","Wrong pick")</f>
        <v/>
      </c>
      <c r="D34" s="95">
        <f t="shared" ca="1" si="6"/>
        <v>1</v>
      </c>
      <c r="G34" s="95" t="str">
        <f>IF(B34=0,"",IF(LEFT(B34,LEN(B$16))=B$16,B$16,C$16))</f>
        <v>santos</v>
      </c>
      <c r="H34" s="95" t="str">
        <f t="shared" si="7"/>
        <v>2-0</v>
      </c>
      <c r="I34" s="95" t="str">
        <f ca="1">IF(AND(J34=Singles!$H$21,INDIRECT(ADDRESS(A34+1,6,1))=0,NOT(INDIRECT(ADDRESS(A34+1,5,1))="")),IF(D34=0,IF(H34=H52,"",G34&amp;" "&amp;H34&amp;" v "&amp;H52&amp;", "),G34&amp;" "&amp;H34&amp;" vs. "&amp;G52&amp;" "&amp;H52&amp;", "),"")</f>
        <v xml:space="preserve">santos 2-0 vs.  0-0, </v>
      </c>
      <c r="J34" s="97">
        <f>Singles!H$17</f>
        <v>1</v>
      </c>
      <c r="K34" s="95" t="str">
        <f t="shared" si="8"/>
        <v>PTS</v>
      </c>
      <c r="L34" s="95" t="str">
        <f t="shared" si="9"/>
        <v>6-4 6-2</v>
      </c>
      <c r="M34" s="95" t="str">
        <f t="shared" si="10"/>
        <v>64 62</v>
      </c>
      <c r="N34" s="95" t="str">
        <f t="shared" si="11"/>
        <v>64 62</v>
      </c>
      <c r="O34" s="95" t="str">
        <f t="shared" si="12"/>
        <v>64 62</v>
      </c>
      <c r="P34" s="95" t="str">
        <f t="shared" si="13"/>
        <v>64 62</v>
      </c>
      <c r="Q34" s="95">
        <f>IF(AND(G34=T$16,LEN(G34)&gt;1),1,0)</f>
        <v>0</v>
      </c>
      <c r="R34" s="97">
        <f>Singles!D$17</f>
        <v>15</v>
      </c>
      <c r="S34" s="95">
        <f>IF(AND(H34=H$16,LEN(H34)&gt;1,Q34=1),1,0)</f>
        <v>0</v>
      </c>
      <c r="V34" s="97">
        <f>VLOOKUP(15,X20:Y35,2,0)</f>
        <v>1</v>
      </c>
      <c r="X34" s="95">
        <f t="shared" si="14"/>
        <v>15</v>
      </c>
      <c r="Y34" s="95">
        <f t="shared" si="15"/>
        <v>1</v>
      </c>
      <c r="Z34" s="95">
        <f t="shared" si="16"/>
        <v>0</v>
      </c>
    </row>
    <row r="35" spans="1:26">
      <c r="A35" s="95">
        <v>16</v>
      </c>
      <c r="B35" s="95" t="str">
        <f>Singles!B110</f>
        <v>LOJDA 6-3 6-1</v>
      </c>
      <c r="C35" s="100" t="str">
        <f>IF(OR(LEFT(B35,LEN(B$17))=B$17,LEFT(B35,LEN(C$17))=C$17,LEN(B35)&lt;2),"","Wrong pick")</f>
        <v/>
      </c>
      <c r="D35" s="95">
        <f t="shared" ca="1" si="6"/>
        <v>1</v>
      </c>
      <c r="G35" s="95" t="str">
        <f>IF(B35=0,"",IF(LEFT(B35,LEN(B$17))=B$17,B$17,C$17))</f>
        <v>lojda</v>
      </c>
      <c r="H35" s="95" t="str">
        <f t="shared" si="7"/>
        <v>2-0</v>
      </c>
      <c r="I35" s="95" t="str">
        <f ca="1">IF(AND(J35=Singles!$H$21,INDIRECT(ADDRESS(A35+1,6,1))=0,NOT(INDIRECT(ADDRESS(A35+1,5,1))="")),IF(D35=0,IF(H35=H53,"",G35&amp;" "&amp;H35&amp;" v "&amp;H53&amp;", "),G35&amp;" "&amp;H35&amp;" vs. "&amp;G53&amp;" "&amp;H53&amp;", "),"")</f>
        <v xml:space="preserve">lojda 2-0 vs.  0-0, </v>
      </c>
      <c r="J35" s="97">
        <f>Singles!H$18</f>
        <v>1</v>
      </c>
      <c r="K35" s="95" t="str">
        <f t="shared" si="8"/>
        <v>PTS</v>
      </c>
      <c r="L35" s="95" t="str">
        <f t="shared" si="9"/>
        <v>6-3 6-1</v>
      </c>
      <c r="M35" s="95" t="str">
        <f t="shared" si="10"/>
        <v>63 61</v>
      </c>
      <c r="N35" s="95" t="str">
        <f t="shared" si="11"/>
        <v>63 61</v>
      </c>
      <c r="O35" s="95" t="str">
        <f t="shared" si="12"/>
        <v>63 61</v>
      </c>
      <c r="P35" s="95" t="str">
        <f t="shared" si="13"/>
        <v>63 61</v>
      </c>
      <c r="Q35" s="95">
        <f>IF(AND(G35=T$17,LEN(G35)&gt;1),1,0)</f>
        <v>0</v>
      </c>
      <c r="R35" s="97">
        <f>Singles!D$18</f>
        <v>16</v>
      </c>
      <c r="S35" s="95">
        <f>IF(AND(H35=H$17,LEN(H35)&gt;1,Q35=1),1,0)</f>
        <v>0</v>
      </c>
      <c r="V35" s="97">
        <f>VLOOKUP(16,X20:Y35,2,0)</f>
        <v>1</v>
      </c>
      <c r="X35" s="95">
        <f t="shared" si="14"/>
        <v>16</v>
      </c>
      <c r="Y35" s="95">
        <f t="shared" si="15"/>
        <v>1</v>
      </c>
      <c r="Z35" s="95">
        <f t="shared" si="16"/>
        <v>0</v>
      </c>
    </row>
    <row r="37" spans="1:26">
      <c r="A37" s="95" t="str">
        <f>IF(LEN(VLOOKUP(B37,Singles!$A$2:$B$33,2,0))&gt;0,VLOOKUP(B37,Singles!$A$2:$B$33,2,0),"")</f>
        <v/>
      </c>
      <c r="B37" s="96" t="str">
        <f>Singles!A3</f>
        <v>gabrieltufao</v>
      </c>
      <c r="C37" s="96">
        <v>2</v>
      </c>
      <c r="D37" s="95" t="str">
        <f>VLOOKUP(B37,Singles!$A$2:$C$33,3,0)</f>
        <v>BRA</v>
      </c>
      <c r="J37" s="95" t="s">
        <v>88</v>
      </c>
      <c r="Q37" s="95" t="s">
        <v>121</v>
      </c>
      <c r="S37" s="95" t="s">
        <v>122</v>
      </c>
      <c r="T37" s="95" t="str">
        <f>IF(LEN(A37)&gt;0,"("&amp;A37&amp;") "&amp;B37,B37)&amp;IF(LEN(D37)&gt;1," ("&amp;D37&amp;")","")</f>
        <v>gabrieltufao (BRA)</v>
      </c>
      <c r="V37" s="95" t="s">
        <v>123</v>
      </c>
      <c r="Y37" s="95" t="s">
        <v>123</v>
      </c>
    </row>
    <row r="38" spans="1:26">
      <c r="A38" s="95">
        <v>1</v>
      </c>
      <c r="B38" s="95">
        <f>Singles!C95</f>
        <v>0</v>
      </c>
      <c r="C38" s="99" t="str">
        <f>IF(OR(LEFT(B38,LEN(B$2))=B$2,LEFT(B38,LEN(C$2))=C$2,LEN(B38)&lt;2),"","Wrong pick")</f>
        <v/>
      </c>
      <c r="E38" s="95" t="str">
        <f ca="1">IF(AND(D20=1,J38=$I$2),G38&amp;", ","")&amp;IF(AND(D21=1,J39=$I$2),G39&amp;", ","")&amp;IF(AND(D22=1,J40=$I$2),G40&amp;", ","")&amp;IF(AND(D23=1,J41=$I$2),G41&amp;", ","")&amp;IF(AND(D24=1,J42=$I$2),G42&amp;", ","")&amp;IF(AND(D25=1,J43=$I$2),G43&amp;", ","")&amp;IF(AND(D26=1,J44=$I$2),G44&amp;", ","")&amp;IF(AND(D27=1,J45=$I$2),G45&amp;", ","")&amp;IF(AND(D28=1,J46=$I$2),G46&amp;", ","")&amp;IF(AND(D29=1,J47=$I$2),G47&amp;", ","")&amp;IF(AND(D30=1,J48=$I$2),G48&amp;", ","")&amp;IF(AND(D31=1,J49=$I$2),G49&amp;", ","")&amp;IF(AND(D32=1,J50=$I$2),G50&amp;", ","")&amp;IF(AND(D33=1,J51=$I$2),G51&amp;", ","")&amp;IF(AND(D34=1,J52=$I$2),G52&amp;", ","")&amp;IF(AND(D35=1,J53=$I$2),G53&amp;", ","")</f>
        <v xml:space="preserve">, , , , , , , , , , , , , , , , </v>
      </c>
      <c r="F38" s="95" t="str">
        <f>IF(AND(SUM(Z38:Z53)=$I$4,NOT(B37="Bye")),"Missing picks from "&amp;B37&amp;" ","")</f>
        <v xml:space="preserve">Missing picks from gabrieltufao </v>
      </c>
      <c r="G38" s="95" t="str">
        <f>IF(B38=0,"",IF(LEFT(B38,LEN(B$2))=B$2,B$2,C$2))</f>
        <v/>
      </c>
      <c r="H38" s="95" t="str">
        <f t="shared" ref="H38:H53" si="17">IF(L38="","",IF(K38="PTS",IF(LEN(O38)&lt;8,"2-0","2-1"),LEFT(O38,1)&amp;"-"&amp;RIGHT(O38,1)))</f>
        <v>0-0</v>
      </c>
      <c r="J38" s="97">
        <f>Singles!H$3</f>
        <v>1</v>
      </c>
      <c r="K38" s="95" t="str">
        <f t="shared" ref="K38:K53" si="18">IF(LEN(L38)&gt;0,IF(LEN(O38)&lt;4,"SR","PTS"),"")</f>
        <v>SR</v>
      </c>
      <c r="L38" s="95" t="str">
        <f t="shared" ref="L38:L53" si="19">TRIM(RIGHT(B38,LEN(B38)-LEN(G38)))</f>
        <v>0</v>
      </c>
      <c r="M38" s="95" t="str">
        <f t="shared" ref="M38:M53" si="20">SUBSTITUTE(L38,"-","")</f>
        <v>0</v>
      </c>
      <c r="N38" s="95" t="str">
        <f t="shared" ref="N38:N53" si="21">SUBSTITUTE(M38,","," ")</f>
        <v>0</v>
      </c>
      <c r="O38" s="95" t="str">
        <f t="shared" ref="O38:O53" si="22">IF(AND(LEN(TRIM(SUBSTITUTE(P38,"/","")))&gt;6,OR(LEFT(TRIM(SUBSTITUTE(P38,"/","")),2)="20",LEFT(TRIM(SUBSTITUTE(P38,"/","")),2)="21")),RIGHT(TRIM(SUBSTITUTE(P38,"/","")),LEN(TRIM(SUBSTITUTE(P38,"/","")))-3),TRIM(SUBSTITUTE(P38,"/","")))</f>
        <v>0</v>
      </c>
      <c r="P38" s="95" t="str">
        <f t="shared" ref="P38:P53" si="23">SUBSTITUTE(N38,":","")</f>
        <v>0</v>
      </c>
      <c r="Q38" s="95">
        <f>IF(AND(G38=T$2,LEN(G38)&gt;1),1,0)</f>
        <v>0</v>
      </c>
      <c r="R38" s="97">
        <f>Singles!D$3</f>
        <v>1</v>
      </c>
      <c r="S38" s="95">
        <f>IF(AND(H38=H$2,LEN(H38)&gt;1,Q38=1),1,0)</f>
        <v>0</v>
      </c>
      <c r="T38" s="95" t="str">
        <f t="shared" ref="T38:T53" si="24">IF(V20=V38,"No","Winner")</f>
        <v>Winner</v>
      </c>
      <c r="U38" s="95" t="str">
        <f>IF(T38="Winner",IF(V38&gt;V20,B37,B19),"")</f>
        <v>Sauletekis</v>
      </c>
      <c r="V38" s="97">
        <f>VLOOKUP(1,X38:Y53,2,0)</f>
        <v>1</v>
      </c>
      <c r="W38" s="95">
        <v>1</v>
      </c>
      <c r="X38" s="95">
        <f t="shared" ref="X38:X53" si="25">R38</f>
        <v>1</v>
      </c>
      <c r="Y38" s="95">
        <f t="shared" ref="Y38:Y53" si="26">IF(Q38=1,IF(S38=1,4,3),IF(H38="2-1",2,1))</f>
        <v>1</v>
      </c>
      <c r="Z38" s="95">
        <f t="shared" ref="Z38:Z53" si="27">IF(AND($I$2=J38,B38=0),1,0)</f>
        <v>1</v>
      </c>
    </row>
    <row r="39" spans="1:26">
      <c r="A39" s="95">
        <v>2</v>
      </c>
      <c r="B39" s="95">
        <f>Singles!C96</f>
        <v>0</v>
      </c>
      <c r="C39" s="100" t="str">
        <f>IF(OR(LEFT(B39,LEN(B$3))=B$3,LEFT(B39,LEN(C$3))=C$3,LEN(B39)&lt;2),"","Wrong pick")</f>
        <v/>
      </c>
      <c r="G39" s="95" t="str">
        <f>IF(B39=0,"",IF(LEFT(B39,LEN(B$3))=B$3,B$3,C$3))</f>
        <v/>
      </c>
      <c r="H39" s="95" t="str">
        <f t="shared" si="17"/>
        <v>0-0</v>
      </c>
      <c r="J39" s="97">
        <f>Singles!H$4</f>
        <v>1</v>
      </c>
      <c r="K39" s="95" t="str">
        <f t="shared" si="18"/>
        <v>SR</v>
      </c>
      <c r="L39" s="95" t="str">
        <f t="shared" si="19"/>
        <v>0</v>
      </c>
      <c r="M39" s="95" t="str">
        <f t="shared" si="20"/>
        <v>0</v>
      </c>
      <c r="N39" s="95" t="str">
        <f t="shared" si="21"/>
        <v>0</v>
      </c>
      <c r="O39" s="95" t="str">
        <f t="shared" si="22"/>
        <v>0</v>
      </c>
      <c r="P39" s="95" t="str">
        <f t="shared" si="23"/>
        <v>0</v>
      </c>
      <c r="Q39" s="95">
        <f>IF(AND(G39=T$3,LEN(G39)&gt;1),1,0)</f>
        <v>0</v>
      </c>
      <c r="R39" s="97">
        <f>Singles!D$4</f>
        <v>2</v>
      </c>
      <c r="S39" s="95">
        <f>IF(AND(H39=H$3,LEN(H39)&gt;1,Q39=1),1,0)</f>
        <v>0</v>
      </c>
      <c r="T39" s="95" t="str">
        <f t="shared" si="24"/>
        <v>No</v>
      </c>
      <c r="U39" s="95" t="str">
        <f>IF(T39="Winner",IF(V39&gt;V21,B37,B19),"")</f>
        <v/>
      </c>
      <c r="V39" s="97">
        <f>VLOOKUP(2,X38:Y53,2,0)</f>
        <v>1</v>
      </c>
      <c r="W39" s="95">
        <v>2</v>
      </c>
      <c r="X39" s="95">
        <f t="shared" si="25"/>
        <v>2</v>
      </c>
      <c r="Y39" s="95">
        <f t="shared" si="26"/>
        <v>1</v>
      </c>
      <c r="Z39" s="95">
        <f t="shared" si="27"/>
        <v>1</v>
      </c>
    </row>
    <row r="40" spans="1:26">
      <c r="A40" s="95">
        <v>3</v>
      </c>
      <c r="B40" s="95">
        <f>Singles!C97</f>
        <v>0</v>
      </c>
      <c r="C40" s="100" t="str">
        <f>IF(OR(LEFT(B40,LEN(B$4))=B$4,LEFT(B40,LEN(C$4))=C$4,LEN(B40)&lt;2),"","Wrong pick")</f>
        <v/>
      </c>
      <c r="G40" s="95" t="str">
        <f>IF(B40=0,"",IF(LEFT(B40,LEN(B$4))=B$4,B$4,C$4))</f>
        <v/>
      </c>
      <c r="H40" s="95" t="str">
        <f t="shared" si="17"/>
        <v>0-0</v>
      </c>
      <c r="J40" s="97">
        <f>Singles!H$5</f>
        <v>1</v>
      </c>
      <c r="K40" s="95" t="str">
        <f t="shared" si="18"/>
        <v>SR</v>
      </c>
      <c r="L40" s="95" t="str">
        <f t="shared" si="19"/>
        <v>0</v>
      </c>
      <c r="M40" s="95" t="str">
        <f t="shared" si="20"/>
        <v>0</v>
      </c>
      <c r="N40" s="95" t="str">
        <f t="shared" si="21"/>
        <v>0</v>
      </c>
      <c r="O40" s="95" t="str">
        <f t="shared" si="22"/>
        <v>0</v>
      </c>
      <c r="P40" s="95" t="str">
        <f t="shared" si="23"/>
        <v>0</v>
      </c>
      <c r="Q40" s="95">
        <f>IF(AND(G40=T$4,LEN(G40)&gt;1),1,0)</f>
        <v>0</v>
      </c>
      <c r="R40" s="97">
        <f>Singles!D$5</f>
        <v>3</v>
      </c>
      <c r="S40" s="95">
        <f>IF(AND(H40=H$4,LEN(H40)&gt;1,Q40=1),1,0)</f>
        <v>0</v>
      </c>
      <c r="T40" s="95" t="str">
        <f t="shared" si="24"/>
        <v>No</v>
      </c>
      <c r="U40" s="95" t="str">
        <f>IF(T40="Winner",IF(V40&gt;V22,B37,B19),"")</f>
        <v/>
      </c>
      <c r="V40" s="97">
        <f>VLOOKUP(3,X38:Y53,2,0)</f>
        <v>1</v>
      </c>
      <c r="W40" s="95">
        <v>3</v>
      </c>
      <c r="X40" s="95">
        <f t="shared" si="25"/>
        <v>3</v>
      </c>
      <c r="Y40" s="95">
        <f t="shared" si="26"/>
        <v>1</v>
      </c>
      <c r="Z40" s="95">
        <f t="shared" si="27"/>
        <v>1</v>
      </c>
    </row>
    <row r="41" spans="1:26">
      <c r="A41" s="95">
        <v>4</v>
      </c>
      <c r="B41" s="95">
        <f>Singles!C98</f>
        <v>0</v>
      </c>
      <c r="C41" s="100" t="str">
        <f>IF(OR(LEFT(B41,LEN(B$5))=B$5,LEFT(B41,LEN(C$5))=C$5,LEN(B41)&lt;2),"","Wrong pick")</f>
        <v/>
      </c>
      <c r="G41" s="95" t="str">
        <f>IF(B41=0,"",IF(LEFT(B41,LEN(B$5))=B$5,B$5,C$5))</f>
        <v/>
      </c>
      <c r="H41" s="95" t="str">
        <f t="shared" si="17"/>
        <v>0-0</v>
      </c>
      <c r="J41" s="97">
        <f>Singles!H$6</f>
        <v>1</v>
      </c>
      <c r="K41" s="95" t="str">
        <f t="shared" si="18"/>
        <v>SR</v>
      </c>
      <c r="L41" s="95" t="str">
        <f t="shared" si="19"/>
        <v>0</v>
      </c>
      <c r="M41" s="95" t="str">
        <f t="shared" si="20"/>
        <v>0</v>
      </c>
      <c r="N41" s="95" t="str">
        <f t="shared" si="21"/>
        <v>0</v>
      </c>
      <c r="O41" s="95" t="str">
        <f t="shared" si="22"/>
        <v>0</v>
      </c>
      <c r="P41" s="95" t="str">
        <f t="shared" si="23"/>
        <v>0</v>
      </c>
      <c r="Q41" s="95">
        <f>IF(AND(G41=T$5,LEN(G41)&gt;1),1,0)</f>
        <v>0</v>
      </c>
      <c r="R41" s="97">
        <f>Singles!D$6</f>
        <v>4</v>
      </c>
      <c r="S41" s="95">
        <f>IF(AND(H41=H$5,LEN(H41)&gt;1,Q41=1),1,0)</f>
        <v>0</v>
      </c>
      <c r="T41" s="95" t="str">
        <f t="shared" si="24"/>
        <v>No</v>
      </c>
      <c r="U41" s="95" t="str">
        <f>IF(T41="Winner",IF(V41&gt;V23,B37,B19),"")</f>
        <v/>
      </c>
      <c r="V41" s="97">
        <f>VLOOKUP(4,X38:Y53,2,0)</f>
        <v>1</v>
      </c>
      <c r="W41" s="95">
        <v>4</v>
      </c>
      <c r="X41" s="95">
        <f t="shared" si="25"/>
        <v>4</v>
      </c>
      <c r="Y41" s="95">
        <f t="shared" si="26"/>
        <v>1</v>
      </c>
      <c r="Z41" s="95">
        <f t="shared" si="27"/>
        <v>1</v>
      </c>
    </row>
    <row r="42" spans="1:26">
      <c r="A42" s="95">
        <v>5</v>
      </c>
      <c r="B42" s="95">
        <f>Singles!C99</f>
        <v>0</v>
      </c>
      <c r="C42" s="100" t="str">
        <f>IF(OR(LEFT(B42,LEN(B$6))=B$6,LEFT(B42,LEN(C$6))=C$6,LEN(B42)&lt;2),"","Wrong pick")</f>
        <v/>
      </c>
      <c r="G42" s="95" t="str">
        <f>IF(B42=0,"",IF(LEFT(B42,LEN(B$6))=B$6,B$6,C$6))</f>
        <v/>
      </c>
      <c r="H42" s="95" t="str">
        <f t="shared" si="17"/>
        <v>0-0</v>
      </c>
      <c r="J42" s="97">
        <f>Singles!H$7</f>
        <v>1</v>
      </c>
      <c r="K42" s="95" t="str">
        <f t="shared" si="18"/>
        <v>SR</v>
      </c>
      <c r="L42" s="95" t="str">
        <f t="shared" si="19"/>
        <v>0</v>
      </c>
      <c r="M42" s="95" t="str">
        <f t="shared" si="20"/>
        <v>0</v>
      </c>
      <c r="N42" s="95" t="str">
        <f t="shared" si="21"/>
        <v>0</v>
      </c>
      <c r="O42" s="95" t="str">
        <f t="shared" si="22"/>
        <v>0</v>
      </c>
      <c r="P42" s="95" t="str">
        <f t="shared" si="23"/>
        <v>0</v>
      </c>
      <c r="Q42" s="95">
        <f>IF(AND(G42=T$6,LEN(G42)&gt;1),1,0)</f>
        <v>0</v>
      </c>
      <c r="R42" s="97">
        <f>Singles!D$7</f>
        <v>5</v>
      </c>
      <c r="S42" s="95">
        <f>IF(AND(H42=H$6,LEN(H42)&gt;1,Q42=1),1,0)</f>
        <v>0</v>
      </c>
      <c r="T42" s="95" t="str">
        <f t="shared" si="24"/>
        <v>No</v>
      </c>
      <c r="U42" s="95" t="str">
        <f>IF(T42="Winner",IF(V42&gt;V24,B37,B19),"")</f>
        <v/>
      </c>
      <c r="V42" s="97">
        <f>VLOOKUP(5,X38:Y53,2,0)</f>
        <v>1</v>
      </c>
      <c r="W42" s="95">
        <v>5</v>
      </c>
      <c r="X42" s="95">
        <f t="shared" si="25"/>
        <v>5</v>
      </c>
      <c r="Y42" s="95">
        <f t="shared" si="26"/>
        <v>1</v>
      </c>
      <c r="Z42" s="95">
        <f t="shared" si="27"/>
        <v>1</v>
      </c>
    </row>
    <row r="43" spans="1:26">
      <c r="A43" s="95">
        <v>6</v>
      </c>
      <c r="B43" s="95">
        <f>Singles!C100</f>
        <v>0</v>
      </c>
      <c r="C43" s="100" t="str">
        <f>IF(OR(LEFT(B43,LEN(B$7))=B$7,LEFT(B43,LEN(C$7))=C$7,LEN(B43)&lt;2),"","Wrong pick")</f>
        <v/>
      </c>
      <c r="G43" s="95" t="str">
        <f>IF(B43=0,"",IF(LEFT(B43,LEN(B$7))=B$7,B$7,C$7))</f>
        <v/>
      </c>
      <c r="H43" s="95" t="str">
        <f t="shared" si="17"/>
        <v>0-0</v>
      </c>
      <c r="J43" s="97">
        <f>Singles!H$8</f>
        <v>1</v>
      </c>
      <c r="K43" s="95" t="str">
        <f t="shared" si="18"/>
        <v>SR</v>
      </c>
      <c r="L43" s="95" t="str">
        <f t="shared" si="19"/>
        <v>0</v>
      </c>
      <c r="M43" s="95" t="str">
        <f t="shared" si="20"/>
        <v>0</v>
      </c>
      <c r="N43" s="95" t="str">
        <f t="shared" si="21"/>
        <v>0</v>
      </c>
      <c r="O43" s="95" t="str">
        <f t="shared" si="22"/>
        <v>0</v>
      </c>
      <c r="P43" s="95" t="str">
        <f t="shared" si="23"/>
        <v>0</v>
      </c>
      <c r="Q43" s="95">
        <f>IF(AND(G43=T$7,LEN(G43)&gt;1),1,0)</f>
        <v>0</v>
      </c>
      <c r="R43" s="97">
        <f>Singles!D$8</f>
        <v>6</v>
      </c>
      <c r="S43" s="95">
        <f>IF(AND(H43=H$7,LEN(H43)&gt;1,Q43=1),1,0)</f>
        <v>0</v>
      </c>
      <c r="T43" s="95" t="str">
        <f t="shared" si="24"/>
        <v>Winner</v>
      </c>
      <c r="U43" s="95" t="str">
        <f>IF(T43="Winner",IF(V43&gt;V25,B37,B19),"")</f>
        <v>Sauletekis</v>
      </c>
      <c r="V43" s="97">
        <f>VLOOKUP(6,X38:Y53,2,0)</f>
        <v>1</v>
      </c>
      <c r="W43" s="95">
        <v>6</v>
      </c>
      <c r="X43" s="95">
        <f t="shared" si="25"/>
        <v>6</v>
      </c>
      <c r="Y43" s="95">
        <f t="shared" si="26"/>
        <v>1</v>
      </c>
      <c r="Z43" s="95">
        <f t="shared" si="27"/>
        <v>1</v>
      </c>
    </row>
    <row r="44" spans="1:26">
      <c r="A44" s="95">
        <v>7</v>
      </c>
      <c r="B44" s="95">
        <f>Singles!C101</f>
        <v>0</v>
      </c>
      <c r="C44" s="100" t="str">
        <f>IF(OR(LEFT(B44,LEN(B$8))=B$8,LEFT(B44,LEN(C$8))=C$8,LEN(B44)&lt;2),"","Wrong pick")</f>
        <v/>
      </c>
      <c r="G44" s="95" t="str">
        <f>IF(B44=0,"",IF(LEFT(B44,LEN(B$8))=B$8,B$8,C$8))</f>
        <v/>
      </c>
      <c r="H44" s="95" t="str">
        <f t="shared" si="17"/>
        <v>0-0</v>
      </c>
      <c r="J44" s="97">
        <f>Singles!H$9</f>
        <v>1</v>
      </c>
      <c r="K44" s="95" t="str">
        <f t="shared" si="18"/>
        <v>SR</v>
      </c>
      <c r="L44" s="95" t="str">
        <f t="shared" si="19"/>
        <v>0</v>
      </c>
      <c r="M44" s="95" t="str">
        <f t="shared" si="20"/>
        <v>0</v>
      </c>
      <c r="N44" s="95" t="str">
        <f t="shared" si="21"/>
        <v>0</v>
      </c>
      <c r="O44" s="95" t="str">
        <f t="shared" si="22"/>
        <v>0</v>
      </c>
      <c r="P44" s="95" t="str">
        <f t="shared" si="23"/>
        <v>0</v>
      </c>
      <c r="Q44" s="95">
        <f>IF(AND(G44=T$8,LEN(G44)&gt;1),1,0)</f>
        <v>0</v>
      </c>
      <c r="R44" s="97">
        <f>Singles!D$9</f>
        <v>7</v>
      </c>
      <c r="S44" s="95">
        <f>IF(AND(H44=H$8,LEN(H44)&gt;1,Q44=1),1,0)</f>
        <v>0</v>
      </c>
      <c r="T44" s="95" t="str">
        <f t="shared" si="24"/>
        <v>No</v>
      </c>
      <c r="U44" s="95" t="str">
        <f>IF(T44="Winner",IF(V44&gt;V26,B37,B19),"")</f>
        <v/>
      </c>
      <c r="V44" s="97">
        <f>VLOOKUP(7,X38:Y53,2,0)</f>
        <v>1</v>
      </c>
      <c r="W44" s="95">
        <v>7</v>
      </c>
      <c r="X44" s="95">
        <f t="shared" si="25"/>
        <v>7</v>
      </c>
      <c r="Y44" s="95">
        <f t="shared" si="26"/>
        <v>1</v>
      </c>
      <c r="Z44" s="95">
        <f t="shared" si="27"/>
        <v>1</v>
      </c>
    </row>
    <row r="45" spans="1:26">
      <c r="A45" s="95">
        <v>8</v>
      </c>
      <c r="B45" s="95">
        <f>Singles!C102</f>
        <v>0</v>
      </c>
      <c r="C45" s="100" t="str">
        <f>IF(OR(LEFT(B45,LEN(B$9))=B$9,LEFT(B45,LEN(C$9))=C$9,LEN(B45)&lt;2),"","Wrong pick")</f>
        <v/>
      </c>
      <c r="G45" s="95" t="str">
        <f>IF(B45=0,"",IF(LEFT(B45,LEN(B$9))=B$9,B$9,C$9))</f>
        <v/>
      </c>
      <c r="H45" s="95" t="str">
        <f t="shared" si="17"/>
        <v>0-0</v>
      </c>
      <c r="J45" s="97">
        <f>Singles!H$10</f>
        <v>1</v>
      </c>
      <c r="K45" s="95" t="str">
        <f t="shared" si="18"/>
        <v>SR</v>
      </c>
      <c r="L45" s="95" t="str">
        <f t="shared" si="19"/>
        <v>0</v>
      </c>
      <c r="M45" s="95" t="str">
        <f t="shared" si="20"/>
        <v>0</v>
      </c>
      <c r="N45" s="95" t="str">
        <f t="shared" si="21"/>
        <v>0</v>
      </c>
      <c r="O45" s="95" t="str">
        <f t="shared" si="22"/>
        <v>0</v>
      </c>
      <c r="P45" s="95" t="str">
        <f t="shared" si="23"/>
        <v>0</v>
      </c>
      <c r="Q45" s="95">
        <f>IF(AND(G45=T$9,LEN(G45)&gt;1),1,0)</f>
        <v>0</v>
      </c>
      <c r="R45" s="97">
        <f>Singles!D$10</f>
        <v>8</v>
      </c>
      <c r="S45" s="95">
        <f>IF(AND(H45=H$9,LEN(H45)&gt;1,Q45=1),1,0)</f>
        <v>0</v>
      </c>
      <c r="T45" s="95" t="str">
        <f t="shared" si="24"/>
        <v>No</v>
      </c>
      <c r="U45" s="95" t="str">
        <f>IF(T45="Winner",IF(V45&gt;V27,B37,B19),"")</f>
        <v/>
      </c>
      <c r="V45" s="97">
        <f>VLOOKUP(8,X38:Y53,2,0)</f>
        <v>1</v>
      </c>
      <c r="W45" s="95">
        <v>8</v>
      </c>
      <c r="X45" s="95">
        <f t="shared" si="25"/>
        <v>8</v>
      </c>
      <c r="Y45" s="95">
        <f t="shared" si="26"/>
        <v>1</v>
      </c>
      <c r="Z45" s="95">
        <f t="shared" si="27"/>
        <v>1</v>
      </c>
    </row>
    <row r="46" spans="1:26">
      <c r="A46" s="95">
        <v>9</v>
      </c>
      <c r="B46" s="95">
        <f>Singles!C103</f>
        <v>0</v>
      </c>
      <c r="C46" s="100" t="str">
        <f>IF(OR(LEFT(B46,LEN(B$10))=B$10,LEFT(B46,LEN(C$10))=C$10,LEN(B46)&lt;2),"","Wrong pick")</f>
        <v/>
      </c>
      <c r="G46" s="95" t="str">
        <f>IF(B46=0,"",IF(LEFT(B46,LEN(B$10))=B$10,B$10,C$10))</f>
        <v/>
      </c>
      <c r="H46" s="95" t="str">
        <f t="shared" si="17"/>
        <v>0-0</v>
      </c>
      <c r="J46" s="97">
        <f>Singles!H$11</f>
        <v>1</v>
      </c>
      <c r="K46" s="95" t="str">
        <f t="shared" si="18"/>
        <v>SR</v>
      </c>
      <c r="L46" s="95" t="str">
        <f t="shared" si="19"/>
        <v>0</v>
      </c>
      <c r="M46" s="95" t="str">
        <f t="shared" si="20"/>
        <v>0</v>
      </c>
      <c r="N46" s="95" t="str">
        <f t="shared" si="21"/>
        <v>0</v>
      </c>
      <c r="O46" s="95" t="str">
        <f t="shared" si="22"/>
        <v>0</v>
      </c>
      <c r="P46" s="95" t="str">
        <f t="shared" si="23"/>
        <v>0</v>
      </c>
      <c r="Q46" s="95">
        <f>IF(AND(G46=T$10,LEN(G46)&gt;1),1,0)</f>
        <v>0</v>
      </c>
      <c r="R46" s="97">
        <f>Singles!D$11</f>
        <v>9</v>
      </c>
      <c r="S46" s="95">
        <f>IF(AND(H46=H$10,LEN(H46)&gt;1,Q46=1),1,0)</f>
        <v>0</v>
      </c>
      <c r="T46" s="95" t="str">
        <f t="shared" si="24"/>
        <v>No</v>
      </c>
      <c r="U46" s="95" t="str">
        <f>IF(T46="Winner",IF(V46&gt;V28,B37,B19),"")</f>
        <v/>
      </c>
      <c r="V46" s="97">
        <f>VLOOKUP(9,X38:Y53,2,0)</f>
        <v>1</v>
      </c>
      <c r="W46" s="95">
        <v>9</v>
      </c>
      <c r="X46" s="95">
        <f t="shared" si="25"/>
        <v>9</v>
      </c>
      <c r="Y46" s="95">
        <f t="shared" si="26"/>
        <v>1</v>
      </c>
      <c r="Z46" s="95">
        <f t="shared" si="27"/>
        <v>1</v>
      </c>
    </row>
    <row r="47" spans="1:26">
      <c r="A47" s="95">
        <v>10</v>
      </c>
      <c r="B47" s="95">
        <f>Singles!C104</f>
        <v>0</v>
      </c>
      <c r="C47" s="100" t="str">
        <f>IF(OR(LEFT(B47,LEN(B$11))=B$11,LEFT(B47,LEN(C$11))=C$11,LEN(B47)&lt;2),"","Wrong pick")</f>
        <v/>
      </c>
      <c r="G47" s="95" t="str">
        <f>IF(B47=0,"",IF(LEFT(B47,LEN(B$11))=B$11,B$11,C$11))</f>
        <v/>
      </c>
      <c r="H47" s="95" t="str">
        <f t="shared" si="17"/>
        <v>0-0</v>
      </c>
      <c r="J47" s="97">
        <f>Singles!H$12</f>
        <v>1</v>
      </c>
      <c r="K47" s="95" t="str">
        <f t="shared" si="18"/>
        <v>SR</v>
      </c>
      <c r="L47" s="95" t="str">
        <f t="shared" si="19"/>
        <v>0</v>
      </c>
      <c r="M47" s="95" t="str">
        <f t="shared" si="20"/>
        <v>0</v>
      </c>
      <c r="N47" s="95" t="str">
        <f t="shared" si="21"/>
        <v>0</v>
      </c>
      <c r="O47" s="95" t="str">
        <f t="shared" si="22"/>
        <v>0</v>
      </c>
      <c r="P47" s="95" t="str">
        <f t="shared" si="23"/>
        <v>0</v>
      </c>
      <c r="Q47" s="95">
        <f>IF(AND(G47=T$11,LEN(G47)&gt;1),1,0)</f>
        <v>0</v>
      </c>
      <c r="R47" s="97">
        <f>Singles!D$12</f>
        <v>10</v>
      </c>
      <c r="S47" s="95">
        <f>IF(AND(H47=H$11,LEN(H47)&gt;1,Q47=1),1,0)</f>
        <v>0</v>
      </c>
      <c r="T47" s="95" t="str">
        <f t="shared" si="24"/>
        <v>No</v>
      </c>
      <c r="U47" s="95" t="str">
        <f>IF(T47="Winner",IF(V47&gt;V29,B37,B19),"")</f>
        <v/>
      </c>
      <c r="V47" s="97">
        <f>VLOOKUP(10,X38:Y53,2,0)</f>
        <v>1</v>
      </c>
      <c r="W47" s="95">
        <v>10</v>
      </c>
      <c r="X47" s="95">
        <f t="shared" si="25"/>
        <v>10</v>
      </c>
      <c r="Y47" s="95">
        <f t="shared" si="26"/>
        <v>1</v>
      </c>
      <c r="Z47" s="95">
        <f t="shared" si="27"/>
        <v>1</v>
      </c>
    </row>
    <row r="48" spans="1:26">
      <c r="A48" s="95">
        <v>11</v>
      </c>
      <c r="B48" s="95">
        <f>Singles!C105</f>
        <v>0</v>
      </c>
      <c r="C48" s="100" t="str">
        <f>IF(OR(LEFT(B48,LEN(B$12))=B$12,LEFT(B48,LEN(C$12))=C$12,LEN(B48)&lt;2),"","Wrong pick")</f>
        <v/>
      </c>
      <c r="G48" s="95" t="str">
        <f>IF(B48=0,"",IF(LEFT(B48,LEN(B$12))=B$12,B$12,C$12))</f>
        <v/>
      </c>
      <c r="H48" s="95" t="str">
        <f t="shared" si="17"/>
        <v>0-0</v>
      </c>
      <c r="J48" s="97">
        <f>Singles!H$13</f>
        <v>1</v>
      </c>
      <c r="K48" s="95" t="str">
        <f t="shared" si="18"/>
        <v>SR</v>
      </c>
      <c r="L48" s="95" t="str">
        <f t="shared" si="19"/>
        <v>0</v>
      </c>
      <c r="M48" s="95" t="str">
        <f t="shared" si="20"/>
        <v>0</v>
      </c>
      <c r="N48" s="95" t="str">
        <f t="shared" si="21"/>
        <v>0</v>
      </c>
      <c r="O48" s="95" t="str">
        <f t="shared" si="22"/>
        <v>0</v>
      </c>
      <c r="P48" s="95" t="str">
        <f t="shared" si="23"/>
        <v>0</v>
      </c>
      <c r="Q48" s="95">
        <f>IF(AND(G48=T$12,LEN(G48)&gt;1),1,0)</f>
        <v>0</v>
      </c>
      <c r="R48" s="97">
        <f>Singles!D$13</f>
        <v>11</v>
      </c>
      <c r="S48" s="95">
        <f>IF(AND(H48=H$12,LEN(H48)&gt;1,Q48=1),1,0)</f>
        <v>0</v>
      </c>
      <c r="T48" s="95" t="str">
        <f t="shared" si="24"/>
        <v>No</v>
      </c>
      <c r="U48" s="95" t="str">
        <f>IF(T48="Winner",IF(V48&gt;V30,B37,B19),"")</f>
        <v/>
      </c>
      <c r="V48" s="97">
        <f>VLOOKUP(11,X38:Y53,2,0)</f>
        <v>1</v>
      </c>
      <c r="W48" s="95">
        <v>11</v>
      </c>
      <c r="X48" s="95">
        <f t="shared" si="25"/>
        <v>11</v>
      </c>
      <c r="Y48" s="95">
        <f t="shared" si="26"/>
        <v>1</v>
      </c>
      <c r="Z48" s="95">
        <f t="shared" si="27"/>
        <v>1</v>
      </c>
    </row>
    <row r="49" spans="1:26">
      <c r="A49" s="95">
        <v>12</v>
      </c>
      <c r="B49" s="95">
        <f>Singles!C106</f>
        <v>0</v>
      </c>
      <c r="C49" s="100" t="str">
        <f>IF(OR(LEFT(B49,LEN(B$13))=B$13,LEFT(B49,LEN(C$13))=C$13,LEN(B49)&lt;2),"","Wrong pick")</f>
        <v/>
      </c>
      <c r="G49" s="95" t="str">
        <f>IF(B49=0,"",IF(LEFT(B49,LEN(B$13))=B$13,B$13,C$13))</f>
        <v/>
      </c>
      <c r="H49" s="95" t="str">
        <f t="shared" si="17"/>
        <v>0-0</v>
      </c>
      <c r="J49" s="97">
        <f>Singles!H$14</f>
        <v>1</v>
      </c>
      <c r="K49" s="95" t="str">
        <f t="shared" si="18"/>
        <v>SR</v>
      </c>
      <c r="L49" s="95" t="str">
        <f t="shared" si="19"/>
        <v>0</v>
      </c>
      <c r="M49" s="95" t="str">
        <f t="shared" si="20"/>
        <v>0</v>
      </c>
      <c r="N49" s="95" t="str">
        <f t="shared" si="21"/>
        <v>0</v>
      </c>
      <c r="O49" s="95" t="str">
        <f t="shared" si="22"/>
        <v>0</v>
      </c>
      <c r="P49" s="95" t="str">
        <f t="shared" si="23"/>
        <v>0</v>
      </c>
      <c r="Q49" s="95">
        <f>IF(AND(G49=T$13,LEN(G49)&gt;1),1,0)</f>
        <v>0</v>
      </c>
      <c r="R49" s="97">
        <f>Singles!D$14</f>
        <v>12</v>
      </c>
      <c r="S49" s="95">
        <f>IF(AND(H49=H$13,LEN(H49)&gt;1,Q49=1),1,0)</f>
        <v>0</v>
      </c>
      <c r="T49" s="95" t="str">
        <f t="shared" si="24"/>
        <v>No</v>
      </c>
      <c r="U49" s="95" t="str">
        <f>IF(T49="Winner",IF(V49&gt;V31,B37,B19),"")</f>
        <v/>
      </c>
      <c r="V49" s="97">
        <f>VLOOKUP(12,X38:Y53,2,0)</f>
        <v>1</v>
      </c>
      <c r="W49" s="95">
        <v>12</v>
      </c>
      <c r="X49" s="95">
        <f t="shared" si="25"/>
        <v>12</v>
      </c>
      <c r="Y49" s="95">
        <f t="shared" si="26"/>
        <v>1</v>
      </c>
      <c r="Z49" s="95">
        <f t="shared" si="27"/>
        <v>1</v>
      </c>
    </row>
    <row r="50" spans="1:26">
      <c r="A50" s="95">
        <v>13</v>
      </c>
      <c r="B50" s="95">
        <f>Singles!C107</f>
        <v>0</v>
      </c>
      <c r="C50" s="100" t="str">
        <f>IF(OR(LEFT(B50,LEN(B$14))=B$14,LEFT(B50,LEN(C$14))=C$14,LEN(B50)&lt;2),"","Wrong pick")</f>
        <v/>
      </c>
      <c r="G50" s="95" t="str">
        <f>IF(B50=0,"",IF(LEFT(B50,LEN(B$14))=B$14,B$14,C$14))</f>
        <v/>
      </c>
      <c r="H50" s="95" t="str">
        <f t="shared" si="17"/>
        <v>0-0</v>
      </c>
      <c r="J50" s="97">
        <f>Singles!H$15</f>
        <v>1</v>
      </c>
      <c r="K50" s="95" t="str">
        <f t="shared" si="18"/>
        <v>SR</v>
      </c>
      <c r="L50" s="95" t="str">
        <f t="shared" si="19"/>
        <v>0</v>
      </c>
      <c r="M50" s="95" t="str">
        <f t="shared" si="20"/>
        <v>0</v>
      </c>
      <c r="N50" s="95" t="str">
        <f t="shared" si="21"/>
        <v>0</v>
      </c>
      <c r="O50" s="95" t="str">
        <f t="shared" si="22"/>
        <v>0</v>
      </c>
      <c r="P50" s="95" t="str">
        <f t="shared" si="23"/>
        <v>0</v>
      </c>
      <c r="Q50" s="95">
        <f>IF(AND(G50=T$14,LEN(G50)&gt;1),1,0)</f>
        <v>0</v>
      </c>
      <c r="R50" s="97">
        <f>Singles!D$15</f>
        <v>13</v>
      </c>
      <c r="S50" s="95">
        <f>IF(AND(H50=H$14,LEN(H50)&gt;1,Q50=1),1,0)</f>
        <v>0</v>
      </c>
      <c r="T50" s="95" t="str">
        <f t="shared" si="24"/>
        <v>No</v>
      </c>
      <c r="U50" s="95" t="str">
        <f>IF(T50="Winner",IF(V50&gt;V32,B37,B19),"")</f>
        <v/>
      </c>
      <c r="V50" s="97">
        <f>VLOOKUP(13,X38:Y53,2,0)</f>
        <v>1</v>
      </c>
      <c r="W50" s="95">
        <v>13</v>
      </c>
      <c r="X50" s="95">
        <f t="shared" si="25"/>
        <v>13</v>
      </c>
      <c r="Y50" s="95">
        <f t="shared" si="26"/>
        <v>1</v>
      </c>
      <c r="Z50" s="95">
        <f t="shared" si="27"/>
        <v>1</v>
      </c>
    </row>
    <row r="51" spans="1:26">
      <c r="A51" s="95">
        <v>14</v>
      </c>
      <c r="B51" s="95">
        <f>Singles!C108</f>
        <v>0</v>
      </c>
      <c r="C51" s="100" t="str">
        <f>IF(OR(LEFT(B51,LEN(B$15))=B$15,LEFT(B51,LEN(C$15))=C$15,LEN(B51)&lt;2),"","Wrong pick")</f>
        <v/>
      </c>
      <c r="G51" s="95" t="str">
        <f>IF(B51=0,"",IF(LEFT(B51,LEN(B$15))=B$15,B$15,C$15))</f>
        <v/>
      </c>
      <c r="H51" s="95" t="str">
        <f t="shared" si="17"/>
        <v>0-0</v>
      </c>
      <c r="J51" s="97">
        <f>Singles!H$16</f>
        <v>1</v>
      </c>
      <c r="K51" s="95" t="str">
        <f t="shared" si="18"/>
        <v>SR</v>
      </c>
      <c r="L51" s="95" t="str">
        <f t="shared" si="19"/>
        <v>0</v>
      </c>
      <c r="M51" s="95" t="str">
        <f t="shared" si="20"/>
        <v>0</v>
      </c>
      <c r="N51" s="95" t="str">
        <f t="shared" si="21"/>
        <v>0</v>
      </c>
      <c r="O51" s="95" t="str">
        <f t="shared" si="22"/>
        <v>0</v>
      </c>
      <c r="P51" s="95" t="str">
        <f t="shared" si="23"/>
        <v>0</v>
      </c>
      <c r="Q51" s="95">
        <f>IF(AND(G51=T$15,LEN(G51)&gt;1),1,0)</f>
        <v>0</v>
      </c>
      <c r="R51" s="97">
        <f>Singles!D$16</f>
        <v>14</v>
      </c>
      <c r="S51" s="95">
        <f>IF(AND(H51=H$15,LEN(H51)&gt;1,Q51=1),1,0)</f>
        <v>0</v>
      </c>
      <c r="T51" s="95" t="str">
        <f t="shared" si="24"/>
        <v>No</v>
      </c>
      <c r="U51" s="95" t="str">
        <f>IF(T51="Winner",IF(V51&gt;V33,B37,B19),"")</f>
        <v/>
      </c>
      <c r="V51" s="97">
        <f>VLOOKUP(14,X38:Y53,2,0)</f>
        <v>1</v>
      </c>
      <c r="W51" s="95">
        <v>14</v>
      </c>
      <c r="X51" s="95">
        <f t="shared" si="25"/>
        <v>14</v>
      </c>
      <c r="Y51" s="95">
        <f t="shared" si="26"/>
        <v>1</v>
      </c>
      <c r="Z51" s="95">
        <f t="shared" si="27"/>
        <v>1</v>
      </c>
    </row>
    <row r="52" spans="1:26">
      <c r="A52" s="95">
        <v>15</v>
      </c>
      <c r="B52" s="95">
        <f>Singles!C109</f>
        <v>0</v>
      </c>
      <c r="C52" s="100" t="str">
        <f>IF(OR(LEFT(B52,LEN(B$16))=B$16,LEFT(B52,LEN(C$16))=C$16,LEN(B52)&lt;2),"","Wrong pick")</f>
        <v/>
      </c>
      <c r="G52" s="95" t="str">
        <f>IF(B52=0,"",IF(LEFT(B52,LEN(B$16))=B$16,B$16,C$16))</f>
        <v/>
      </c>
      <c r="H52" s="95" t="str">
        <f t="shared" si="17"/>
        <v>0-0</v>
      </c>
      <c r="J52" s="97">
        <f>Singles!H$17</f>
        <v>1</v>
      </c>
      <c r="K52" s="95" t="str">
        <f t="shared" si="18"/>
        <v>SR</v>
      </c>
      <c r="L52" s="95" t="str">
        <f t="shared" si="19"/>
        <v>0</v>
      </c>
      <c r="M52" s="95" t="str">
        <f t="shared" si="20"/>
        <v>0</v>
      </c>
      <c r="N52" s="95" t="str">
        <f t="shared" si="21"/>
        <v>0</v>
      </c>
      <c r="O52" s="95" t="str">
        <f t="shared" si="22"/>
        <v>0</v>
      </c>
      <c r="P52" s="95" t="str">
        <f t="shared" si="23"/>
        <v>0</v>
      </c>
      <c r="Q52" s="95">
        <f>IF(AND(G52=T$16,LEN(G52)&gt;1),1,0)</f>
        <v>0</v>
      </c>
      <c r="R52" s="97">
        <f>Singles!D$17</f>
        <v>15</v>
      </c>
      <c r="S52" s="95">
        <f>IF(AND(H52=H$16,LEN(H52)&gt;1,Q52=1),1,0)</f>
        <v>0</v>
      </c>
      <c r="T52" s="95" t="str">
        <f t="shared" si="24"/>
        <v>No</v>
      </c>
      <c r="U52" s="95" t="str">
        <f>IF(T52="Winner",IF(V52&gt;V34,B37,B19),"")</f>
        <v/>
      </c>
      <c r="V52" s="97">
        <f>VLOOKUP(15,X38:Y53,2,0)</f>
        <v>1</v>
      </c>
      <c r="W52" s="95">
        <v>15</v>
      </c>
      <c r="X52" s="95">
        <f t="shared" si="25"/>
        <v>15</v>
      </c>
      <c r="Y52" s="95">
        <f t="shared" si="26"/>
        <v>1</v>
      </c>
      <c r="Z52" s="95">
        <f t="shared" si="27"/>
        <v>1</v>
      </c>
    </row>
    <row r="53" spans="1:26">
      <c r="A53" s="95">
        <v>16</v>
      </c>
      <c r="B53" s="95">
        <f>Singles!C110</f>
        <v>0</v>
      </c>
      <c r="C53" s="100" t="str">
        <f>IF(OR(LEFT(B53,LEN(B$17))=B$17,LEFT(B53,LEN(C$17))=C$17,LEN(B53)&lt;2),"","Wrong pick")</f>
        <v/>
      </c>
      <c r="G53" s="95" t="str">
        <f>IF(B53=0,"",IF(LEFT(B53,LEN(B$17))=B$17,B$17,C$17))</f>
        <v/>
      </c>
      <c r="H53" s="95" t="str">
        <f t="shared" si="17"/>
        <v>0-0</v>
      </c>
      <c r="J53" s="97">
        <f>Singles!H$18</f>
        <v>1</v>
      </c>
      <c r="K53" s="95" t="str">
        <f t="shared" si="18"/>
        <v>SR</v>
      </c>
      <c r="L53" s="95" t="str">
        <f t="shared" si="19"/>
        <v>0</v>
      </c>
      <c r="M53" s="95" t="str">
        <f t="shared" si="20"/>
        <v>0</v>
      </c>
      <c r="N53" s="95" t="str">
        <f t="shared" si="21"/>
        <v>0</v>
      </c>
      <c r="O53" s="95" t="str">
        <f t="shared" si="22"/>
        <v>0</v>
      </c>
      <c r="P53" s="95" t="str">
        <f t="shared" si="23"/>
        <v>0</v>
      </c>
      <c r="Q53" s="95">
        <f>IF(AND(G53=T$17,LEN(G53)&gt;1),1,0)</f>
        <v>0</v>
      </c>
      <c r="R53" s="97">
        <f>Singles!D$18</f>
        <v>16</v>
      </c>
      <c r="S53" s="95">
        <f>IF(AND(H53=H$17,LEN(H53)&gt;1,Q53=1),1,0)</f>
        <v>0</v>
      </c>
      <c r="T53" s="95" t="str">
        <f t="shared" si="24"/>
        <v>No</v>
      </c>
      <c r="U53" s="95" t="str">
        <f>IF(T53="Winner",IF(V53&gt;V35,B37,B19),"")</f>
        <v/>
      </c>
      <c r="V53" s="97">
        <f>VLOOKUP(16,X38:Y53,2,0)</f>
        <v>1</v>
      </c>
      <c r="W53" s="95">
        <v>16</v>
      </c>
      <c r="X53" s="95">
        <f t="shared" si="25"/>
        <v>16</v>
      </c>
      <c r="Y53" s="95">
        <f t="shared" si="26"/>
        <v>1</v>
      </c>
      <c r="Z53" s="95">
        <f t="shared" si="27"/>
        <v>1</v>
      </c>
    </row>
    <row r="54" spans="1:26">
      <c r="T54" s="95" t="s">
        <v>89</v>
      </c>
      <c r="U54" s="95" t="s">
        <v>125</v>
      </c>
      <c r="W54" s="95">
        <v>17</v>
      </c>
    </row>
    <row r="55" spans="1:26">
      <c r="A55" s="95" t="str">
        <f>IF(LEN(VLOOKUP(B55,Singles!$A$2:$B$33,2,0))&gt;0,VLOOKUP(B55,Singles!$A$2:$B$33,2,0),"")</f>
        <v/>
      </c>
      <c r="B55" s="96" t="str">
        <f>Singles!A4</f>
        <v>Lazyking</v>
      </c>
      <c r="C55" s="96">
        <v>3</v>
      </c>
      <c r="D55" s="95" t="str">
        <f>VLOOKUP(B55,Singles!$A$2:$C$33,3,0)</f>
        <v>USA</v>
      </c>
      <c r="J55" s="95" t="s">
        <v>88</v>
      </c>
      <c r="Q55" s="95" t="s">
        <v>121</v>
      </c>
      <c r="S55" s="95" t="s">
        <v>122</v>
      </c>
      <c r="T55" s="95" t="str">
        <f>IF(LEN(A55)&gt;0,"("&amp;A55&amp;") "&amp;B55,B55)&amp;IF(LEN(D55)&gt;1," ("&amp;D55&amp;")","")</f>
        <v>Lazyking (USA)</v>
      </c>
      <c r="V55" s="95" t="s">
        <v>123</v>
      </c>
      <c r="Y55" s="95" t="s">
        <v>123</v>
      </c>
    </row>
    <row r="56" spans="1:26">
      <c r="A56" s="95">
        <v>1</v>
      </c>
      <c r="B56" s="95" t="str">
        <f>Singles!D95</f>
        <v>GHEM 64 46 64</v>
      </c>
      <c r="C56" s="99" t="str">
        <f>IF(OR(LEFT(B56,LEN(B$2))=B$2,LEFT(B56,LEN(C$2))=C$2,LEN(B56)&lt;2),"","Wrong pick")</f>
        <v/>
      </c>
      <c r="D56" s="95">
        <f t="shared" ref="D56:D71" ca="1" si="28">IF(OR(G56=G74,INDIRECT(ADDRESS(A56+1,6,1))&gt;0),0,1)</f>
        <v>1</v>
      </c>
      <c r="E56" s="95" t="str">
        <f ca="1">IF(AND(D56=1,J56=$I$2),G56&amp;", ","")&amp;IF(AND(D57=1,J57=$I$2),G57&amp;", ","")&amp;IF(AND(D58=1,J58=$I$2),G58&amp;", ","")&amp;IF(AND(D59=1,J59=$I$2),G59&amp;", ","")&amp;IF(AND(D60=1,J60=$I$2),G60&amp;", ","")&amp;IF(AND(D61=1,J61=$I$2),G61&amp;", ","")&amp;IF(AND(D62=1,J62=$I$2),G62&amp;", ","")&amp;IF(AND(D63=1,J63=$I$2),G63&amp;", ","")&amp;IF(AND(D64=1,J64=$I$2),G64&amp;", ","")&amp;IF(AND(D65=1,J65=$I$2),G65&amp;", ","")&amp;IF(AND(D66=1,J66=$I$2),G66&amp;", ","")&amp;IF(AND(D67=1,J67=$I$2),G67&amp;", ","")&amp;IF(AND(D68=1,J68=$I$2),G68&amp;", ","")&amp;IF(AND(D69=1,J69=$I$2),G69&amp;", ","")&amp;IF(AND(D70=1,J70=$I$2),G70&amp;", ","")&amp;IF(AND(D71=1,J71=$I$2),G71&amp;", ","")</f>
        <v xml:space="preserve">Ghem, Laranja, Lindell, matos, Fligia, </v>
      </c>
      <c r="F56" s="95" t="str">
        <f>IF(AND(SUM(Z56:Z71)=$I$4,NOT(B55="Bye")),"Missing picks from "&amp;B55&amp;" ","")</f>
        <v/>
      </c>
      <c r="G56" s="95" t="str">
        <f>IF(B56=0,"",IF(LEFT(B56,LEN(B$2))=B$2,B$2,C$2))</f>
        <v>Ghem</v>
      </c>
      <c r="H56" s="95" t="str">
        <f t="shared" ref="H56:H71" si="29">IF(L56="","",IF(K56="PTS",IF(LEN(O56)&lt;8,"2-0","2-1"),LEFT(O56,1)&amp;"-"&amp;RIGHT(O56,1)))</f>
        <v>2-1</v>
      </c>
      <c r="I56" s="95" t="str">
        <f ca="1">IF(AND(J56=Singles!$H$21,INDIRECT(ADDRESS(A56+1,6,1))=0,NOT(INDIRECT(ADDRESS(A56+1,5,1))="")),IF(D56=0,IF(H56=H74,"",G56&amp;" "&amp;H56&amp;" v "&amp;H74&amp;", "),G56&amp;" "&amp;H56&amp;" vs. "&amp;G74&amp;" "&amp;H74&amp;", "),"")</f>
        <v xml:space="preserve">Ghem 2-1 vs. Travaglia 2-1, </v>
      </c>
      <c r="J56" s="97">
        <f>Singles!H$3</f>
        <v>1</v>
      </c>
      <c r="K56" s="95" t="str">
        <f t="shared" ref="K56:K71" si="30">IF(LEN(L56)&gt;0,IF(LEN(O56)&lt;4,"SR","PTS"),"")</f>
        <v>PTS</v>
      </c>
      <c r="L56" s="95" t="str">
        <f t="shared" ref="L56:L71" si="31">TRIM(RIGHT(B56,LEN(B56)-LEN(G56)))</f>
        <v>64 46 64</v>
      </c>
      <c r="M56" s="95" t="str">
        <f t="shared" ref="M56:M71" si="32">SUBSTITUTE(L56,"-","")</f>
        <v>64 46 64</v>
      </c>
      <c r="N56" s="95" t="str">
        <f t="shared" ref="N56:N71" si="33">SUBSTITUTE(M56,","," ")</f>
        <v>64 46 64</v>
      </c>
      <c r="O56" s="95" t="str">
        <f t="shared" ref="O56:O71" si="34">IF(AND(LEN(TRIM(SUBSTITUTE(P56,"/","")))&gt;6,OR(LEFT(TRIM(SUBSTITUTE(P56,"/","")),2)="20",LEFT(TRIM(SUBSTITUTE(P56,"/","")),2)="21")),RIGHT(TRIM(SUBSTITUTE(P56,"/","")),LEN(TRIM(SUBSTITUTE(P56,"/","")))-3),TRIM(SUBSTITUTE(P56,"/","")))</f>
        <v>64 46 64</v>
      </c>
      <c r="P56" s="95" t="str">
        <f t="shared" ref="P56:P71" si="35">SUBSTITUTE(N56,":","")</f>
        <v>64 46 64</v>
      </c>
      <c r="Q56" s="95">
        <f>IF(AND(G56=T$2,LEN(G56)&gt;1),1,0)</f>
        <v>0</v>
      </c>
      <c r="R56" s="97">
        <f>Singles!D$3</f>
        <v>1</v>
      </c>
      <c r="S56" s="95">
        <f>IF(AND(H56=H$2,LEN(H56)&gt;1,Q56=1),1,0)</f>
        <v>0</v>
      </c>
      <c r="T56" s="95" t="str">
        <f ca="1">" SR Differences: "&amp;IF(LEN(I56&amp;I57&amp;I58&amp;I59&amp;I60&amp;I61&amp;I62&amp;I63&amp;I64&amp;I65&amp;I66&amp;I67&amp;I68&amp;I69&amp;I70&amp;I71)&lt;3,"None..",I56&amp;I57&amp;I58&amp;I59&amp;I60&amp;I61&amp;I62&amp;I63&amp;I64&amp;I65&amp;I66&amp;I67&amp;I68&amp;I69&amp;I70&amp;I71)</f>
        <v xml:space="preserve"> SR Differences: Ghem 2-1 vs. Travaglia 2-1, Laranja 2-1 vs. Gaio 2-0, Lindell 2-1 vs. Duran 2-0, matos 2-1 vs. collinari 2-0, turini 2-0 v 2-1, Fligia 2-0 vs. santos 2-1, </v>
      </c>
      <c r="V56" s="97">
        <f>VLOOKUP(1,X56:Y71,2,0)</f>
        <v>2</v>
      </c>
      <c r="X56" s="95">
        <f t="shared" ref="X56:X71" si="36">R56</f>
        <v>1</v>
      </c>
      <c r="Y56" s="95">
        <f t="shared" ref="Y56:Y71" si="37">IF(Q56=1,IF(S56=1,4,3),IF(H56="2-1",2,1))</f>
        <v>2</v>
      </c>
      <c r="Z56" s="95">
        <f t="shared" ref="Z56:Z71" si="38">IF(AND($I$2=J56,B56=0),1,0)</f>
        <v>0</v>
      </c>
    </row>
    <row r="57" spans="1:26">
      <c r="A57" s="95">
        <v>2</v>
      </c>
      <c r="B57" s="95" t="str">
        <f>Singles!D96</f>
        <v>MACHADO 64 63</v>
      </c>
      <c r="C57" s="100" t="str">
        <f>IF(OR(LEFT(B57,LEN(B$3))=B$3,LEFT(B57,LEN(C$3))=C$3,LEN(B57)&lt;2),"","Wrong pick")</f>
        <v/>
      </c>
      <c r="D57" s="95">
        <f t="shared" ca="1" si="28"/>
        <v>0</v>
      </c>
      <c r="G57" s="95" t="str">
        <f>IF(B57=0,"",IF(LEFT(B57,LEN(B$3))=B$3,B$3,C$3))</f>
        <v>Machado</v>
      </c>
      <c r="H57" s="95" t="str">
        <f t="shared" si="29"/>
        <v>2-0</v>
      </c>
      <c r="I57" s="95" t="str">
        <f ca="1">IF(AND(J57=Singles!$H$21,INDIRECT(ADDRESS(A57+1,6,1))=0,NOT(INDIRECT(ADDRESS(A57+1,5,1))="")),IF(D57=0,IF(H57=H75,"",G57&amp;" "&amp;H57&amp;" v "&amp;H75&amp;", "),G57&amp;" "&amp;H57&amp;" vs. "&amp;G75&amp;" "&amp;H75&amp;", "),"")</f>
        <v/>
      </c>
      <c r="J57" s="97">
        <f>Singles!H$4</f>
        <v>1</v>
      </c>
      <c r="K57" s="95" t="str">
        <f t="shared" si="30"/>
        <v>PTS</v>
      </c>
      <c r="L57" s="95" t="str">
        <f t="shared" si="31"/>
        <v>64 63</v>
      </c>
      <c r="M57" s="95" t="str">
        <f t="shared" si="32"/>
        <v>64 63</v>
      </c>
      <c r="N57" s="95" t="str">
        <f t="shared" si="33"/>
        <v>64 63</v>
      </c>
      <c r="O57" s="95" t="str">
        <f t="shared" si="34"/>
        <v>64 63</v>
      </c>
      <c r="P57" s="95" t="str">
        <f t="shared" si="35"/>
        <v>64 63</v>
      </c>
      <c r="Q57" s="95">
        <f>IF(AND(G57=T$3,LEN(G57)&gt;1),1,0)</f>
        <v>0</v>
      </c>
      <c r="R57" s="97">
        <f>Singles!D$4</f>
        <v>2</v>
      </c>
      <c r="S57" s="95">
        <f>IF(AND(H57=H$3,LEN(H57)&gt;1,Q57=1),1,0)</f>
        <v>0</v>
      </c>
      <c r="T57" s="95" t="str">
        <f ca="1">IF(T58&gt;0,LEFT(E56,LEN(E56)-2)&amp;" vs. "&amp;LEFT(E74,LEN(E74)-2),IF(SUMIF(Singles!$H$3:$H$18,"="&amp;Singles!$H$21,Singles!$I$3:$I$18)=0,"Same winners;",""))</f>
        <v>Ghem, Laranja, Lindell, matos, Fligia vs. Travaglia, Gaio, Duran, collinari, santos</v>
      </c>
      <c r="V57" s="97">
        <f>VLOOKUP(2,X56:Y71,2,0)</f>
        <v>1</v>
      </c>
      <c r="X57" s="95">
        <f t="shared" si="36"/>
        <v>2</v>
      </c>
      <c r="Y57" s="95">
        <f t="shared" si="37"/>
        <v>1</v>
      </c>
      <c r="Z57" s="95">
        <f t="shared" si="38"/>
        <v>0</v>
      </c>
    </row>
    <row r="58" spans="1:26">
      <c r="A58" s="95">
        <v>3</v>
      </c>
      <c r="B58" s="95" t="str">
        <f>Singles!D97</f>
        <v>JUNQUEIRA 76 62</v>
      </c>
      <c r="C58" s="100" t="str">
        <f>IF(OR(LEFT(B58,LEN(B$4))=B$4,LEFT(B58,LEN(C$4))=C$4,LEN(B58)&lt;2),"","Wrong pick")</f>
        <v/>
      </c>
      <c r="D58" s="95">
        <f t="shared" ca="1" si="28"/>
        <v>0</v>
      </c>
      <c r="G58" s="95" t="str">
        <f>IF(B58=0,"",IF(LEFT(B58,LEN(B$4))=B$4,B$4,C$4))</f>
        <v>Junqueira</v>
      </c>
      <c r="H58" s="95" t="str">
        <f t="shared" si="29"/>
        <v>2-0</v>
      </c>
      <c r="I58" s="95" t="str">
        <f ca="1">IF(AND(J58=Singles!$H$21,INDIRECT(ADDRESS(A58+1,6,1))=0,NOT(INDIRECT(ADDRESS(A58+1,5,1))="")),IF(D58=0,IF(H58=H76,"",G58&amp;" "&amp;H58&amp;" v "&amp;H76&amp;", "),G58&amp;" "&amp;H58&amp;" vs. "&amp;G76&amp;" "&amp;H76&amp;", "),"")</f>
        <v/>
      </c>
      <c r="J58" s="97">
        <f>Singles!H$5</f>
        <v>1</v>
      </c>
      <c r="K58" s="95" t="str">
        <f t="shared" si="30"/>
        <v>PTS</v>
      </c>
      <c r="L58" s="95" t="str">
        <f t="shared" si="31"/>
        <v>76 62</v>
      </c>
      <c r="M58" s="95" t="str">
        <f t="shared" si="32"/>
        <v>76 62</v>
      </c>
      <c r="N58" s="95" t="str">
        <f t="shared" si="33"/>
        <v>76 62</v>
      </c>
      <c r="O58" s="95" t="str">
        <f t="shared" si="34"/>
        <v>76 62</v>
      </c>
      <c r="P58" s="95" t="str">
        <f t="shared" si="35"/>
        <v>76 62</v>
      </c>
      <c r="Q58" s="95">
        <f>IF(AND(G58=T$4,LEN(G58)&gt;1),1,0)</f>
        <v>0</v>
      </c>
      <c r="R58" s="97">
        <f>Singles!D$5</f>
        <v>3</v>
      </c>
      <c r="S58" s="95">
        <f>IF(AND(H58=H$4,LEN(H58)&gt;1,Q58=1),1,0)</f>
        <v>0</v>
      </c>
      <c r="T58" s="101">
        <f ca="1">SUMIF(J56:J71,$I$2,D56:D71)</f>
        <v>5</v>
      </c>
      <c r="V58" s="97">
        <f>VLOOKUP(3,X56:Y71,2,0)</f>
        <v>1</v>
      </c>
      <c r="X58" s="95">
        <f t="shared" si="36"/>
        <v>3</v>
      </c>
      <c r="Y58" s="95">
        <f t="shared" si="37"/>
        <v>1</v>
      </c>
      <c r="Z58" s="95">
        <f t="shared" si="38"/>
        <v>0</v>
      </c>
    </row>
    <row r="59" spans="1:26">
      <c r="A59" s="95">
        <v>4</v>
      </c>
      <c r="B59" s="95" t="str">
        <f>Singles!D98</f>
        <v>LARANJA 64 36 76</v>
      </c>
      <c r="C59" s="100" t="str">
        <f>IF(OR(LEFT(B59,LEN(B$5))=B$5,LEFT(B59,LEN(C$5))=C$5,LEN(B59)&lt;2),"","Wrong pick")</f>
        <v/>
      </c>
      <c r="D59" s="95">
        <f t="shared" ca="1" si="28"/>
        <v>1</v>
      </c>
      <c r="G59" s="95" t="str">
        <f>IF(B59=0,"",IF(LEFT(B59,LEN(B$5))=B$5,B$5,C$5))</f>
        <v>Laranja</v>
      </c>
      <c r="H59" s="95" t="str">
        <f t="shared" si="29"/>
        <v>2-1</v>
      </c>
      <c r="I59" s="95" t="str">
        <f ca="1">IF(AND(J59=Singles!$H$21,INDIRECT(ADDRESS(A59+1,6,1))=0,NOT(INDIRECT(ADDRESS(A59+1,5,1))="")),IF(D59=0,IF(H59=H77,"",G59&amp;" "&amp;H59&amp;" v "&amp;H77&amp;", "),G59&amp;" "&amp;H59&amp;" vs. "&amp;G77&amp;" "&amp;H77&amp;", "),"")</f>
        <v xml:space="preserve">Laranja 2-1 vs. Gaio 2-0, </v>
      </c>
      <c r="J59" s="97">
        <f>Singles!H$6</f>
        <v>1</v>
      </c>
      <c r="K59" s="95" t="str">
        <f t="shared" si="30"/>
        <v>PTS</v>
      </c>
      <c r="L59" s="95" t="str">
        <f t="shared" si="31"/>
        <v>64 36 76</v>
      </c>
      <c r="M59" s="95" t="str">
        <f t="shared" si="32"/>
        <v>64 36 76</v>
      </c>
      <c r="N59" s="95" t="str">
        <f t="shared" si="33"/>
        <v>64 36 76</v>
      </c>
      <c r="O59" s="95" t="str">
        <f t="shared" si="34"/>
        <v>64 36 76</v>
      </c>
      <c r="P59" s="95" t="str">
        <f t="shared" si="35"/>
        <v>64 36 76</v>
      </c>
      <c r="Q59" s="95">
        <f>IF(AND(G59=T$5,LEN(G59)&gt;1),1,0)</f>
        <v>0</v>
      </c>
      <c r="R59" s="97">
        <f>Singles!D$6</f>
        <v>4</v>
      </c>
      <c r="S59" s="95">
        <f>IF(AND(H59=H$5,LEN(H59)&gt;1,Q59=1),1,0)</f>
        <v>0</v>
      </c>
      <c r="T59" s="102" t="str">
        <f ca="1">IF(T61&lt;10,"0","")&amp;T61&amp;":"&amp;IF(T62&lt;10,"0","")&amp;T62&amp;" | [b]"&amp;IF(LEN(U59)&gt;0,U59,T55&amp;"[/b] vs. [b]"&amp;T73&amp;"[/b]"&amp;IF(Singles!$H$21&gt;1," (SR "&amp;U61&amp;":"&amp;U62&amp;")","")&amp;" - "&amp;IF(COUNTIF(C56:C89,"=Wrong Pick")&gt;0,"Incorrect pick, probably a spelling mistake",IF(AND(F56="",F74=""),T57&amp;IF(AND(OR(AND(Singles!$H$20&gt;1,Singles!$H$21&lt;Singles!$H$20),MOD(T58+T61+T62,2)=0),NOT(Singles!$H$23="No")),LEFT(T56,LEN(T56)-2),""),F56&amp;F74)))</f>
        <v>00:00 | [b]Lazyking (USA)[/b] vs. [b](6) Daniel_amr (PER)[/b] - Ghem, Laranja, Lindell, matos, Fligia vs. Travaglia, Gaio, Duran, collinari, santos</v>
      </c>
      <c r="U59" s="95" t="str">
        <f>IF(B55="Bye","Bye[/b] vs. [b][color=blue]"&amp;T73&amp;"[/color][/b]",IF(B73="Bye","[color=blue]"&amp;T55&amp;"[/color][/b] vs. [b]Bye[/b]",""))</f>
        <v/>
      </c>
      <c r="V59" s="97">
        <f>VLOOKUP(4,X56:Y71,2,0)</f>
        <v>2</v>
      </c>
      <c r="X59" s="95">
        <f t="shared" si="36"/>
        <v>4</v>
      </c>
      <c r="Y59" s="95">
        <f t="shared" si="37"/>
        <v>2</v>
      </c>
      <c r="Z59" s="95">
        <f t="shared" si="38"/>
        <v>0</v>
      </c>
    </row>
    <row r="60" spans="1:26">
      <c r="A60" s="95">
        <v>5</v>
      </c>
      <c r="B60" s="95" t="str">
        <f>Singles!D99</f>
        <v>PODLIPBIK-CASTILLO 63 63</v>
      </c>
      <c r="C60" s="100" t="str">
        <f>IF(OR(LEFT(B60,LEN(B$6))=B$6,LEFT(B60,LEN(C$6))=C$6,LEN(B60)&lt;2),"","Wrong pick")</f>
        <v/>
      </c>
      <c r="D60" s="95">
        <f t="shared" ca="1" si="28"/>
        <v>0</v>
      </c>
      <c r="G60" s="95" t="str">
        <f>IF(B60=0,"",IF(LEFT(B60,LEN(B$6))=B$6,B$6,C$6))</f>
        <v>PODLIPBIK-CASTILLO</v>
      </c>
      <c r="H60" s="95" t="str">
        <f t="shared" si="29"/>
        <v>2-0</v>
      </c>
      <c r="I60" s="95" t="str">
        <f ca="1">IF(AND(J60=Singles!$H$21,INDIRECT(ADDRESS(A60+1,6,1))=0,NOT(INDIRECT(ADDRESS(A60+1,5,1))="")),IF(D60=0,IF(H60=H78,"",G60&amp;" "&amp;H60&amp;" v "&amp;H78&amp;", "),G60&amp;" "&amp;H60&amp;" vs. "&amp;G78&amp;" "&amp;H78&amp;", "),"")</f>
        <v/>
      </c>
      <c r="J60" s="97">
        <f>Singles!H$7</f>
        <v>1</v>
      </c>
      <c r="K60" s="95" t="str">
        <f t="shared" si="30"/>
        <v>PTS</v>
      </c>
      <c r="L60" s="95" t="str">
        <f t="shared" si="31"/>
        <v>63 63</v>
      </c>
      <c r="M60" s="95" t="str">
        <f t="shared" si="32"/>
        <v>63 63</v>
      </c>
      <c r="N60" s="95" t="str">
        <f t="shared" si="33"/>
        <v>63 63</v>
      </c>
      <c r="O60" s="95" t="str">
        <f t="shared" si="34"/>
        <v>63 63</v>
      </c>
      <c r="P60" s="95" t="str">
        <f t="shared" si="35"/>
        <v>63 63</v>
      </c>
      <c r="Q60" s="95">
        <f>IF(AND(G60=T$6,LEN(G60)&gt;1),1,0)</f>
        <v>0</v>
      </c>
      <c r="R60" s="97">
        <f>Singles!D$7</f>
        <v>5</v>
      </c>
      <c r="S60" s="95">
        <f>IF(AND(H60=H$6,LEN(H60)&gt;1,Q60=1),1,0)</f>
        <v>0</v>
      </c>
      <c r="T60" s="103" t="str">
        <f>IF(Singles!$H$22=$F$18,IF(T61&gt;T62,B55,IF(T61&lt;T62,B73,IF(U61&gt;U62,B55,IF(U61&lt;U62,B73,T64)))),"No decision yet")</f>
        <v>No decision yet</v>
      </c>
      <c r="U60" s="104" t="str">
        <f>IF(T61&lt;10,"0","")&amp;T61&amp;":"&amp;IF(T62&lt;10,"0","")&amp;T62&amp;" | "&amp;IF(AND(A55&gt;0,A55&lt;33,B55=T60),"[b][color=Blue]"&amp;T55&amp;"[/color][/b]",IF(B55=T60,"[color=Blue]"&amp;T55&amp;"[/color]",IF(AND(A55&gt;0,A55&lt;33),"[b]"&amp;T55&amp;"[/b]",T55)))&amp;" vs. "&amp;IF(AND(A73&gt;0,A73&lt;33,B73=T60),"[b][color=Blue]"&amp;T73&amp;"[/color][/b]",IF(B73=T60,"[color=Blue]"&amp;T73&amp;"[/color]",IF(AND(A73&gt;0,A73&lt;33),"[b]"&amp;T73&amp;"[/b]",T73)))&amp;IF(OR(Singles!$B$40="yes",T61=T62)," #SRs: "&amp;U61&amp;"-"&amp;U62,"")&amp;IF(AND(T61=T62,U61=U62,U64&lt;17,Singles!$H$22=$F$18),", Shootout: SR"&amp;U64,"")</f>
        <v>00:00 | Lazyking (USA) vs. [b](6) Daniel_amr (PER)[/b] #SRs: 0-0</v>
      </c>
      <c r="V60" s="97">
        <f>VLOOKUP(5,X56:Y71,2,0)</f>
        <v>1</v>
      </c>
      <c r="X60" s="95">
        <f t="shared" si="36"/>
        <v>5</v>
      </c>
      <c r="Y60" s="95">
        <f t="shared" si="37"/>
        <v>1</v>
      </c>
      <c r="Z60" s="95">
        <f t="shared" si="38"/>
        <v>0</v>
      </c>
    </row>
    <row r="61" spans="1:26">
      <c r="A61" s="95">
        <v>6</v>
      </c>
      <c r="B61" s="95" t="str">
        <f>Singles!D100</f>
        <v>LINDELL 36 64 62</v>
      </c>
      <c r="C61" s="100" t="str">
        <f>IF(OR(LEFT(B61,LEN(B$7))=B$7,LEFT(B61,LEN(C$7))=C$7,LEN(B61)&lt;2),"","Wrong pick")</f>
        <v/>
      </c>
      <c r="D61" s="95">
        <f t="shared" ca="1" si="28"/>
        <v>1</v>
      </c>
      <c r="G61" s="95" t="str">
        <f>IF(B61=0,"",IF(LEFT(B61,LEN(B$7))=B$7,B$7,C$7))</f>
        <v>Lindell</v>
      </c>
      <c r="H61" s="95" t="str">
        <f t="shared" si="29"/>
        <v>2-1</v>
      </c>
      <c r="I61" s="95" t="str">
        <f ca="1">IF(AND(J61=Singles!$H$21,INDIRECT(ADDRESS(A61+1,6,1))=0,NOT(INDIRECT(ADDRESS(A61+1,5,1))="")),IF(D61=0,IF(H61=H79,"",G61&amp;" "&amp;H61&amp;" v "&amp;H79&amp;", "),G61&amp;" "&amp;H61&amp;" vs. "&amp;G79&amp;" "&amp;H79&amp;", "),"")</f>
        <v xml:space="preserve">Lindell 2-1 vs. Duran 2-0, </v>
      </c>
      <c r="J61" s="97">
        <f>Singles!H$8</f>
        <v>1</v>
      </c>
      <c r="K61" s="95" t="str">
        <f t="shared" si="30"/>
        <v>PTS</v>
      </c>
      <c r="L61" s="95" t="str">
        <f t="shared" si="31"/>
        <v>36 64 62</v>
      </c>
      <c r="M61" s="95" t="str">
        <f t="shared" si="32"/>
        <v>36 64 62</v>
      </c>
      <c r="N61" s="95" t="str">
        <f t="shared" si="33"/>
        <v>36 64 62</v>
      </c>
      <c r="O61" s="95" t="str">
        <f t="shared" si="34"/>
        <v>36 64 62</v>
      </c>
      <c r="P61" s="95" t="str">
        <f t="shared" si="35"/>
        <v>36 64 62</v>
      </c>
      <c r="Q61" s="95">
        <f>IF(AND(G61=T$7,LEN(G61)&gt;1),1,0)</f>
        <v>0</v>
      </c>
      <c r="R61" s="97">
        <f>Singles!D$8</f>
        <v>6</v>
      </c>
      <c r="S61" s="95">
        <f>IF(AND(H61=H$7,LEN(H61)&gt;1,Q61=1),1,0)</f>
        <v>0</v>
      </c>
      <c r="T61" s="105">
        <f>SUM(Q56:Q71)</f>
        <v>0</v>
      </c>
      <c r="U61" s="97">
        <f>SUM(S56:S71)</f>
        <v>0</v>
      </c>
      <c r="V61" s="97">
        <f>VLOOKUP(6,X56:Y71,2,0)</f>
        <v>2</v>
      </c>
      <c r="X61" s="95">
        <f t="shared" si="36"/>
        <v>6</v>
      </c>
      <c r="Y61" s="95">
        <f t="shared" si="37"/>
        <v>2</v>
      </c>
      <c r="Z61" s="95">
        <f t="shared" si="38"/>
        <v>0</v>
      </c>
    </row>
    <row r="62" spans="1:26">
      <c r="A62" s="95">
        <v>7</v>
      </c>
      <c r="B62" s="95" t="str">
        <f>Singles!D101</f>
        <v>MICHON 76 64</v>
      </c>
      <c r="C62" s="100" t="str">
        <f>IF(OR(LEFT(B62,LEN(B$8))=B$8,LEFT(B62,LEN(C$8))=C$8,LEN(B62)&lt;2),"","Wrong pick")</f>
        <v/>
      </c>
      <c r="D62" s="95">
        <f t="shared" ca="1" si="28"/>
        <v>0</v>
      </c>
      <c r="G62" s="95" t="str">
        <f>IF(B62=0,"",IF(LEFT(B62,LEN(B$8))=B$8,B$8,C$8))</f>
        <v>Michon</v>
      </c>
      <c r="H62" s="95" t="str">
        <f t="shared" si="29"/>
        <v>2-0</v>
      </c>
      <c r="I62" s="95" t="str">
        <f ca="1">IF(AND(J62=Singles!$H$21,INDIRECT(ADDRESS(A62+1,6,1))=0,NOT(INDIRECT(ADDRESS(A62+1,5,1))="")),IF(D62=0,IF(H62=H80,"",G62&amp;" "&amp;H62&amp;" v "&amp;H80&amp;", "),G62&amp;" "&amp;H62&amp;" vs. "&amp;G80&amp;" "&amp;H80&amp;", "),"")</f>
        <v/>
      </c>
      <c r="J62" s="97">
        <f>Singles!H$9</f>
        <v>1</v>
      </c>
      <c r="K62" s="95" t="str">
        <f t="shared" si="30"/>
        <v>PTS</v>
      </c>
      <c r="L62" s="95" t="str">
        <f t="shared" si="31"/>
        <v>76 64</v>
      </c>
      <c r="M62" s="95" t="str">
        <f t="shared" si="32"/>
        <v>76 64</v>
      </c>
      <c r="N62" s="95" t="str">
        <f t="shared" si="33"/>
        <v>76 64</v>
      </c>
      <c r="O62" s="95" t="str">
        <f t="shared" si="34"/>
        <v>76 64</v>
      </c>
      <c r="P62" s="95" t="str">
        <f t="shared" si="35"/>
        <v>76 64</v>
      </c>
      <c r="Q62" s="95">
        <f>IF(AND(G62=T$8,LEN(G62)&gt;1),1,0)</f>
        <v>0</v>
      </c>
      <c r="R62" s="97">
        <f>Singles!D$9</f>
        <v>7</v>
      </c>
      <c r="S62" s="95">
        <f>IF(AND(H62=H$8,LEN(H62)&gt;1,Q62=1),1,0)</f>
        <v>0</v>
      </c>
      <c r="T62" s="105">
        <f>SUM(Q74:Q89)</f>
        <v>0</v>
      </c>
      <c r="U62" s="97">
        <f>SUM(S74:S89)</f>
        <v>0</v>
      </c>
      <c r="V62" s="97">
        <f>VLOOKUP(7,X56:Y71,2,0)</f>
        <v>1</v>
      </c>
      <c r="X62" s="95">
        <f t="shared" si="36"/>
        <v>7</v>
      </c>
      <c r="Y62" s="95">
        <f t="shared" si="37"/>
        <v>1</v>
      </c>
      <c r="Z62" s="95">
        <f t="shared" si="38"/>
        <v>0</v>
      </c>
    </row>
    <row r="63" spans="1:26">
      <c r="A63" s="95">
        <v>8</v>
      </c>
      <c r="B63" s="95" t="str">
        <f>Singles!D102</f>
        <v>GONZALEZ 63 64</v>
      </c>
      <c r="C63" s="100" t="str">
        <f>IF(OR(LEFT(B63,LEN(B$9))=B$9,LEFT(B63,LEN(C$9))=C$9,LEN(B63)&lt;2),"","Wrong pick")</f>
        <v/>
      </c>
      <c r="D63" s="95">
        <f t="shared" ca="1" si="28"/>
        <v>0</v>
      </c>
      <c r="G63" s="95" t="str">
        <f>IF(B63=0,"",IF(LEFT(B63,LEN(B$9))=B$9,B$9,C$9))</f>
        <v>gonzalez</v>
      </c>
      <c r="H63" s="95" t="str">
        <f t="shared" si="29"/>
        <v>2-0</v>
      </c>
      <c r="I63" s="95" t="str">
        <f ca="1">IF(AND(J63=Singles!$H$21,INDIRECT(ADDRESS(A63+1,6,1))=0,NOT(INDIRECT(ADDRESS(A63+1,5,1))="")),IF(D63=0,IF(H63=H81,"",G63&amp;" "&amp;H63&amp;" v "&amp;H81&amp;", "),G63&amp;" "&amp;H63&amp;" vs. "&amp;G81&amp;" "&amp;H81&amp;", "),"")</f>
        <v/>
      </c>
      <c r="J63" s="97">
        <f>Singles!H$10</f>
        <v>1</v>
      </c>
      <c r="K63" s="95" t="str">
        <f t="shared" si="30"/>
        <v>PTS</v>
      </c>
      <c r="L63" s="95" t="str">
        <f t="shared" si="31"/>
        <v>63 64</v>
      </c>
      <c r="M63" s="95" t="str">
        <f t="shared" si="32"/>
        <v>63 64</v>
      </c>
      <c r="N63" s="95" t="str">
        <f t="shared" si="33"/>
        <v>63 64</v>
      </c>
      <c r="O63" s="95" t="str">
        <f t="shared" si="34"/>
        <v>63 64</v>
      </c>
      <c r="P63" s="95" t="str">
        <f t="shared" si="35"/>
        <v>63 64</v>
      </c>
      <c r="Q63" s="95">
        <f>IF(AND(G63=T$9,LEN(G63)&gt;1),1,0)</f>
        <v>0</v>
      </c>
      <c r="R63" s="97">
        <f>Singles!D$10</f>
        <v>8</v>
      </c>
      <c r="S63" s="95">
        <f>IF(AND(H63=H$9,LEN(H63)&gt;1,Q63=1),1,0)</f>
        <v>0</v>
      </c>
      <c r="V63" s="97">
        <f>VLOOKUP(8,X56:Y71,2,0)</f>
        <v>1</v>
      </c>
      <c r="X63" s="95">
        <f t="shared" si="36"/>
        <v>8</v>
      </c>
      <c r="Y63" s="95">
        <f t="shared" si="37"/>
        <v>1</v>
      </c>
      <c r="Z63" s="95">
        <f t="shared" si="38"/>
        <v>0</v>
      </c>
    </row>
    <row r="64" spans="1:26">
      <c r="A64" s="95">
        <v>9</v>
      </c>
      <c r="B64" s="95" t="str">
        <f>Singles!D103</f>
        <v>PEREIRA 60 63</v>
      </c>
      <c r="C64" s="100" t="str">
        <f>IF(OR(LEFT(B64,LEN(B$10))=B$10,LEFT(B64,LEN(C$10))=C$10,LEN(B64)&lt;2),"","Wrong pick")</f>
        <v/>
      </c>
      <c r="D64" s="95">
        <f t="shared" ca="1" si="28"/>
        <v>0</v>
      </c>
      <c r="G64" s="95" t="str">
        <f>IF(B64=0,"",IF(LEFT(B64,LEN(B$10))=B$10,B$10,C$10))</f>
        <v>pereira</v>
      </c>
      <c r="H64" s="95" t="str">
        <f t="shared" si="29"/>
        <v>2-0</v>
      </c>
      <c r="I64" s="95" t="str">
        <f ca="1">IF(AND(J64=Singles!$H$21,INDIRECT(ADDRESS(A64+1,6,1))=0,NOT(INDIRECT(ADDRESS(A64+1,5,1))="")),IF(D64=0,IF(H64=H82,"",G64&amp;" "&amp;H64&amp;" v "&amp;H82&amp;", "),G64&amp;" "&amp;H64&amp;" vs. "&amp;G82&amp;" "&amp;H82&amp;", "),"")</f>
        <v/>
      </c>
      <c r="J64" s="97">
        <f>Singles!H$11</f>
        <v>1</v>
      </c>
      <c r="K64" s="95" t="str">
        <f t="shared" si="30"/>
        <v>PTS</v>
      </c>
      <c r="L64" s="95" t="str">
        <f t="shared" si="31"/>
        <v>60 63</v>
      </c>
      <c r="M64" s="95" t="str">
        <f t="shared" si="32"/>
        <v>60 63</v>
      </c>
      <c r="N64" s="95" t="str">
        <f t="shared" si="33"/>
        <v>60 63</v>
      </c>
      <c r="O64" s="95" t="str">
        <f t="shared" si="34"/>
        <v>60 63</v>
      </c>
      <c r="P64" s="95" t="str">
        <f t="shared" si="35"/>
        <v>60 63</v>
      </c>
      <c r="Q64" s="95">
        <f>IF(AND(G64=T$10,LEN(G64)&gt;1),1,0)</f>
        <v>0</v>
      </c>
      <c r="R64" s="97">
        <f>Singles!D$11</f>
        <v>9</v>
      </c>
      <c r="S64" s="95">
        <f>IF(AND(H64=H$10,LEN(H64)&gt;1,Q64=1),1,0)</f>
        <v>0</v>
      </c>
      <c r="T64" s="95" t="str">
        <f>VLOOKUP("Winner",T74:U90,2,0)</f>
        <v>Lazyking</v>
      </c>
      <c r="U64" s="95">
        <f>VLOOKUP(T64,U74:W90,3,0)</f>
        <v>4</v>
      </c>
      <c r="V64" s="97">
        <f>VLOOKUP(9,X56:Y71,2,0)</f>
        <v>1</v>
      </c>
      <c r="X64" s="95">
        <f t="shared" si="36"/>
        <v>9</v>
      </c>
      <c r="Y64" s="95">
        <f t="shared" si="37"/>
        <v>1</v>
      </c>
      <c r="Z64" s="95">
        <f t="shared" si="38"/>
        <v>0</v>
      </c>
    </row>
    <row r="65" spans="1:26">
      <c r="A65" s="95">
        <v>10</v>
      </c>
      <c r="B65" s="95" t="str">
        <f>Singles!D104</f>
        <v>MATOS 64 46 64</v>
      </c>
      <c r="C65" s="100" t="str">
        <f>IF(OR(LEFT(B65,LEN(B$11))=B$11,LEFT(B65,LEN(C$11))=C$11,LEN(B65)&lt;2),"","Wrong pick")</f>
        <v/>
      </c>
      <c r="D65" s="95">
        <f t="shared" ca="1" si="28"/>
        <v>1</v>
      </c>
      <c r="G65" s="95" t="str">
        <f>IF(B65=0,"",IF(LEFT(B65,LEN(B$11))=B$11,B$11,C$11))</f>
        <v>matos</v>
      </c>
      <c r="H65" s="95" t="str">
        <f t="shared" si="29"/>
        <v>2-1</v>
      </c>
      <c r="I65" s="95" t="str">
        <f ca="1">IF(AND(J65=Singles!$H$21,INDIRECT(ADDRESS(A65+1,6,1))=0,NOT(INDIRECT(ADDRESS(A65+1,5,1))="")),IF(D65=0,IF(H65=H83,"",G65&amp;" "&amp;H65&amp;" v "&amp;H83&amp;", "),G65&amp;" "&amp;H65&amp;" vs. "&amp;G83&amp;" "&amp;H83&amp;", "),"")</f>
        <v xml:space="preserve">matos 2-1 vs. collinari 2-0, </v>
      </c>
      <c r="J65" s="97">
        <f>Singles!H$12</f>
        <v>1</v>
      </c>
      <c r="K65" s="95" t="str">
        <f t="shared" si="30"/>
        <v>PTS</v>
      </c>
      <c r="L65" s="95" t="str">
        <f t="shared" si="31"/>
        <v>64 46 64</v>
      </c>
      <c r="M65" s="95" t="str">
        <f t="shared" si="32"/>
        <v>64 46 64</v>
      </c>
      <c r="N65" s="95" t="str">
        <f t="shared" si="33"/>
        <v>64 46 64</v>
      </c>
      <c r="O65" s="95" t="str">
        <f t="shared" si="34"/>
        <v>64 46 64</v>
      </c>
      <c r="P65" s="95" t="str">
        <f t="shared" si="35"/>
        <v>64 46 64</v>
      </c>
      <c r="Q65" s="95">
        <f>IF(AND(G65=T$11,LEN(G65)&gt;1),1,0)</f>
        <v>0</v>
      </c>
      <c r="R65" s="97">
        <f>Singles!D$12</f>
        <v>10</v>
      </c>
      <c r="S65" s="95">
        <f>IF(AND(H65=H$11,LEN(H65)&gt;1,Q65=1),1,0)</f>
        <v>0</v>
      </c>
      <c r="V65" s="97">
        <f>VLOOKUP(10,X56:Y71,2,0)</f>
        <v>2</v>
      </c>
      <c r="X65" s="95">
        <f t="shared" si="36"/>
        <v>10</v>
      </c>
      <c r="Y65" s="95">
        <f t="shared" si="37"/>
        <v>2</v>
      </c>
      <c r="Z65" s="95">
        <f t="shared" si="38"/>
        <v>0</v>
      </c>
    </row>
    <row r="66" spans="1:26">
      <c r="A66" s="95">
        <v>11</v>
      </c>
      <c r="B66" s="95" t="str">
        <f>Singles!D105</f>
        <v>GINER 63 63</v>
      </c>
      <c r="C66" s="100" t="str">
        <f>IF(OR(LEFT(B66,LEN(B$12))=B$12,LEFT(B66,LEN(C$12))=C$12,LEN(B66)&lt;2),"","Wrong pick")</f>
        <v/>
      </c>
      <c r="D66" s="95">
        <f t="shared" ca="1" si="28"/>
        <v>0</v>
      </c>
      <c r="G66" s="95" t="str">
        <f>IF(B66=0,"",IF(LEFT(B66,LEN(B$12))=B$12,B$12,C$12))</f>
        <v>giner</v>
      </c>
      <c r="H66" s="95" t="str">
        <f t="shared" si="29"/>
        <v>2-0</v>
      </c>
      <c r="I66" s="95" t="str">
        <f ca="1">IF(AND(J66=Singles!$H$21,INDIRECT(ADDRESS(A66+1,6,1))=0,NOT(INDIRECT(ADDRESS(A66+1,5,1))="")),IF(D66=0,IF(H66=H84,"",G66&amp;" "&amp;H66&amp;" v "&amp;H84&amp;", "),G66&amp;" "&amp;H66&amp;" vs. "&amp;G84&amp;" "&amp;H84&amp;", "),"")</f>
        <v/>
      </c>
      <c r="J66" s="97">
        <f>Singles!H$13</f>
        <v>1</v>
      </c>
      <c r="K66" s="95" t="str">
        <f t="shared" si="30"/>
        <v>PTS</v>
      </c>
      <c r="L66" s="95" t="str">
        <f t="shared" si="31"/>
        <v>63 63</v>
      </c>
      <c r="M66" s="95" t="str">
        <f t="shared" si="32"/>
        <v>63 63</v>
      </c>
      <c r="N66" s="95" t="str">
        <f t="shared" si="33"/>
        <v>63 63</v>
      </c>
      <c r="O66" s="95" t="str">
        <f t="shared" si="34"/>
        <v>63 63</v>
      </c>
      <c r="P66" s="95" t="str">
        <f t="shared" si="35"/>
        <v>63 63</v>
      </c>
      <c r="Q66" s="95">
        <f>IF(AND(G66=T$12,LEN(G66)&gt;1),1,0)</f>
        <v>0</v>
      </c>
      <c r="R66" s="97">
        <f>Singles!D$13</f>
        <v>11</v>
      </c>
      <c r="S66" s="95">
        <f>IF(AND(H66=H$12,LEN(H66)&gt;1,Q66=1),1,0)</f>
        <v>0</v>
      </c>
      <c r="V66" s="97">
        <f>VLOOKUP(11,X56:Y71,2,0)</f>
        <v>1</v>
      </c>
      <c r="X66" s="95">
        <f t="shared" si="36"/>
        <v>11</v>
      </c>
      <c r="Y66" s="95">
        <f t="shared" si="37"/>
        <v>1</v>
      </c>
      <c r="Z66" s="95">
        <f t="shared" si="38"/>
        <v>0</v>
      </c>
    </row>
    <row r="67" spans="1:26">
      <c r="A67" s="95">
        <v>12</v>
      </c>
      <c r="B67" s="95" t="str">
        <f>Singles!D106</f>
        <v>TURINI 76 76</v>
      </c>
      <c r="C67" s="100" t="str">
        <f>IF(OR(LEFT(B67,LEN(B$13))=B$13,LEFT(B67,LEN(C$13))=C$13,LEN(B67)&lt;2),"","Wrong pick")</f>
        <v/>
      </c>
      <c r="D67" s="95">
        <f t="shared" ca="1" si="28"/>
        <v>0</v>
      </c>
      <c r="G67" s="95" t="str">
        <f>IF(B67=0,"",IF(LEFT(B67,LEN(B$13))=B$13,B$13,C$13))</f>
        <v>turini</v>
      </c>
      <c r="H67" s="95" t="str">
        <f t="shared" si="29"/>
        <v>2-0</v>
      </c>
      <c r="I67" s="95" t="str">
        <f ca="1">IF(AND(J67=Singles!$H$21,INDIRECT(ADDRESS(A67+1,6,1))=0,NOT(INDIRECT(ADDRESS(A67+1,5,1))="")),IF(D67=0,IF(H67=H85,"",G67&amp;" "&amp;H67&amp;" v "&amp;H85&amp;", "),G67&amp;" "&amp;H67&amp;" vs. "&amp;G85&amp;" "&amp;H85&amp;", "),"")</f>
        <v xml:space="preserve">turini 2-0 v 2-1, </v>
      </c>
      <c r="J67" s="97">
        <f>Singles!H$14</f>
        <v>1</v>
      </c>
      <c r="K67" s="95" t="str">
        <f t="shared" si="30"/>
        <v>PTS</v>
      </c>
      <c r="L67" s="95" t="str">
        <f t="shared" si="31"/>
        <v>76 76</v>
      </c>
      <c r="M67" s="95" t="str">
        <f t="shared" si="32"/>
        <v>76 76</v>
      </c>
      <c r="N67" s="95" t="str">
        <f t="shared" si="33"/>
        <v>76 76</v>
      </c>
      <c r="O67" s="95" t="str">
        <f t="shared" si="34"/>
        <v>76 76</v>
      </c>
      <c r="P67" s="95" t="str">
        <f t="shared" si="35"/>
        <v>76 76</v>
      </c>
      <c r="Q67" s="95">
        <f>IF(AND(G67=T$13,LEN(G67)&gt;1),1,0)</f>
        <v>0</v>
      </c>
      <c r="R67" s="97">
        <f>Singles!D$14</f>
        <v>12</v>
      </c>
      <c r="S67" s="95">
        <f>IF(AND(H67=H$13,LEN(H67)&gt;1,Q67=1),1,0)</f>
        <v>0</v>
      </c>
      <c r="V67" s="97">
        <f>VLOOKUP(12,X56:Y71,2,0)</f>
        <v>1</v>
      </c>
      <c r="X67" s="95">
        <f t="shared" si="36"/>
        <v>12</v>
      </c>
      <c r="Y67" s="95">
        <f t="shared" si="37"/>
        <v>1</v>
      </c>
      <c r="Z67" s="95">
        <f t="shared" si="38"/>
        <v>0</v>
      </c>
    </row>
    <row r="68" spans="1:26">
      <c r="A68" s="95">
        <v>13</v>
      </c>
      <c r="B68" s="95" t="str">
        <f>Singles!D107</f>
        <v>LOBKOV 62 62</v>
      </c>
      <c r="C68" s="100" t="str">
        <f>IF(OR(LEFT(B68,LEN(B$14))=B$14,LEFT(B68,LEN(C$14))=C$14,LEN(B68)&lt;2),"","Wrong pick")</f>
        <v/>
      </c>
      <c r="D68" s="95">
        <f t="shared" ca="1" si="28"/>
        <v>0</v>
      </c>
      <c r="G68" s="95" t="str">
        <f>IF(B68=0,"",IF(LEFT(B68,LEN(B$14))=B$14,B$14,C$14))</f>
        <v>lobkov</v>
      </c>
      <c r="H68" s="95" t="str">
        <f t="shared" si="29"/>
        <v>2-0</v>
      </c>
      <c r="I68" s="95" t="str">
        <f ca="1">IF(AND(J68=Singles!$H$21,INDIRECT(ADDRESS(A68+1,6,1))=0,NOT(INDIRECT(ADDRESS(A68+1,5,1))="")),IF(D68=0,IF(H68=H86,"",G68&amp;" "&amp;H68&amp;" v "&amp;H86&amp;", "),G68&amp;" "&amp;H68&amp;" vs. "&amp;G86&amp;" "&amp;H86&amp;", "),"")</f>
        <v/>
      </c>
      <c r="J68" s="97">
        <f>Singles!H$15</f>
        <v>1</v>
      </c>
      <c r="K68" s="95" t="str">
        <f t="shared" si="30"/>
        <v>PTS</v>
      </c>
      <c r="L68" s="95" t="str">
        <f t="shared" si="31"/>
        <v>62 62</v>
      </c>
      <c r="M68" s="95" t="str">
        <f t="shared" si="32"/>
        <v>62 62</v>
      </c>
      <c r="N68" s="95" t="str">
        <f t="shared" si="33"/>
        <v>62 62</v>
      </c>
      <c r="O68" s="95" t="str">
        <f t="shared" si="34"/>
        <v>62 62</v>
      </c>
      <c r="P68" s="95" t="str">
        <f t="shared" si="35"/>
        <v>62 62</v>
      </c>
      <c r="Q68" s="95">
        <f>IF(AND(G68=T$14,LEN(G68)&gt;1),1,0)</f>
        <v>0</v>
      </c>
      <c r="R68" s="97">
        <f>Singles!D$15</f>
        <v>13</v>
      </c>
      <c r="S68" s="95">
        <f>IF(AND(H68=H$14,LEN(H68)&gt;1,Q68=1),1,0)</f>
        <v>0</v>
      </c>
      <c r="V68" s="97">
        <f>VLOOKUP(13,X56:Y71,2,0)</f>
        <v>1</v>
      </c>
      <c r="X68" s="95">
        <f t="shared" si="36"/>
        <v>13</v>
      </c>
      <c r="Y68" s="95">
        <f t="shared" si="37"/>
        <v>1</v>
      </c>
      <c r="Z68" s="95">
        <f t="shared" si="38"/>
        <v>0</v>
      </c>
    </row>
    <row r="69" spans="1:26">
      <c r="A69" s="95">
        <v>14</v>
      </c>
      <c r="B69" s="95" t="str">
        <f>Singles!D108</f>
        <v>FLIGIA 64 64</v>
      </c>
      <c r="C69" s="100" t="str">
        <f>IF(OR(LEFT(B69,LEN(B$15))=B$15,LEFT(B69,LEN(C$15))=C$15,LEN(B69)&lt;2),"","Wrong pick")</f>
        <v/>
      </c>
      <c r="D69" s="95">
        <f t="shared" ca="1" si="28"/>
        <v>1</v>
      </c>
      <c r="G69" s="95" t="str">
        <f>IF(B69=0,"",IF(LEFT(B69,LEN(B$15))=B$15,B$15,C$15))</f>
        <v>Fligia</v>
      </c>
      <c r="H69" s="95" t="str">
        <f t="shared" si="29"/>
        <v>2-0</v>
      </c>
      <c r="I69" s="95" t="str">
        <f ca="1">IF(AND(J69=Singles!$H$21,INDIRECT(ADDRESS(A69+1,6,1))=0,NOT(INDIRECT(ADDRESS(A69+1,5,1))="")),IF(D69=0,IF(H69=H87,"",G69&amp;" "&amp;H69&amp;" v "&amp;H87&amp;", "),G69&amp;" "&amp;H69&amp;" vs. "&amp;G87&amp;" "&amp;H87&amp;", "),"")</f>
        <v xml:space="preserve">Fligia 2-0 vs. santos 2-1, </v>
      </c>
      <c r="J69" s="97">
        <f>Singles!H$16</f>
        <v>1</v>
      </c>
      <c r="K69" s="95" t="str">
        <f t="shared" si="30"/>
        <v>PTS</v>
      </c>
      <c r="L69" s="95" t="str">
        <f t="shared" si="31"/>
        <v>64 64</v>
      </c>
      <c r="M69" s="95" t="str">
        <f t="shared" si="32"/>
        <v>64 64</v>
      </c>
      <c r="N69" s="95" t="str">
        <f t="shared" si="33"/>
        <v>64 64</v>
      </c>
      <c r="O69" s="95" t="str">
        <f t="shared" si="34"/>
        <v>64 64</v>
      </c>
      <c r="P69" s="95" t="str">
        <f t="shared" si="35"/>
        <v>64 64</v>
      </c>
      <c r="Q69" s="95">
        <f>IF(AND(G69=T$15,LEN(G69)&gt;1),1,0)</f>
        <v>0</v>
      </c>
      <c r="R69" s="97">
        <f>Singles!D$16</f>
        <v>14</v>
      </c>
      <c r="S69" s="95">
        <f>IF(AND(H69=H$15,LEN(H69)&gt;1,Q69=1),1,0)</f>
        <v>0</v>
      </c>
      <c r="V69" s="97">
        <f>VLOOKUP(14,X56:Y71,2,0)</f>
        <v>1</v>
      </c>
      <c r="X69" s="95">
        <f t="shared" si="36"/>
        <v>14</v>
      </c>
      <c r="Y69" s="95">
        <f t="shared" si="37"/>
        <v>1</v>
      </c>
      <c r="Z69" s="95">
        <f t="shared" si="38"/>
        <v>0</v>
      </c>
    </row>
    <row r="70" spans="1:26">
      <c r="A70" s="95">
        <v>15</v>
      </c>
      <c r="B70" s="95" t="str">
        <f>Singles!D109</f>
        <v>SANTOS 63 63</v>
      </c>
      <c r="C70" s="100" t="str">
        <f>IF(OR(LEFT(B70,LEN(B$16))=B$16,LEFT(B70,LEN(C$16))=C$16,LEN(B70)&lt;2),"","Wrong pick")</f>
        <v/>
      </c>
      <c r="D70" s="95">
        <f t="shared" ca="1" si="28"/>
        <v>0</v>
      </c>
      <c r="G70" s="95" t="str">
        <f>IF(B70=0,"",IF(LEFT(B70,LEN(B$16))=B$16,B$16,C$16))</f>
        <v>santos</v>
      </c>
      <c r="H70" s="95" t="str">
        <f t="shared" si="29"/>
        <v>2-0</v>
      </c>
      <c r="I70" s="95" t="str">
        <f ca="1">IF(AND(J70=Singles!$H$21,INDIRECT(ADDRESS(A70+1,6,1))=0,NOT(INDIRECT(ADDRESS(A70+1,5,1))="")),IF(D70=0,IF(H70=H88,"",G70&amp;" "&amp;H70&amp;" v "&amp;H88&amp;", "),G70&amp;" "&amp;H70&amp;" vs. "&amp;G88&amp;" "&amp;H88&amp;", "),"")</f>
        <v/>
      </c>
      <c r="J70" s="97">
        <f>Singles!H$17</f>
        <v>1</v>
      </c>
      <c r="K70" s="95" t="str">
        <f t="shared" si="30"/>
        <v>PTS</v>
      </c>
      <c r="L70" s="95" t="str">
        <f t="shared" si="31"/>
        <v>63 63</v>
      </c>
      <c r="M70" s="95" t="str">
        <f t="shared" si="32"/>
        <v>63 63</v>
      </c>
      <c r="N70" s="95" t="str">
        <f t="shared" si="33"/>
        <v>63 63</v>
      </c>
      <c r="O70" s="95" t="str">
        <f t="shared" si="34"/>
        <v>63 63</v>
      </c>
      <c r="P70" s="95" t="str">
        <f t="shared" si="35"/>
        <v>63 63</v>
      </c>
      <c r="Q70" s="95">
        <f>IF(AND(G70=T$16,LEN(G70)&gt;1),1,0)</f>
        <v>0</v>
      </c>
      <c r="R70" s="97">
        <f>Singles!D$17</f>
        <v>15</v>
      </c>
      <c r="S70" s="95">
        <f>IF(AND(H70=H$16,LEN(H70)&gt;1,Q70=1),1,0)</f>
        <v>0</v>
      </c>
      <c r="V70" s="97">
        <f>VLOOKUP(15,X56:Y71,2,0)</f>
        <v>1</v>
      </c>
      <c r="X70" s="95">
        <f t="shared" si="36"/>
        <v>15</v>
      </c>
      <c r="Y70" s="95">
        <f t="shared" si="37"/>
        <v>1</v>
      </c>
      <c r="Z70" s="95">
        <f t="shared" si="38"/>
        <v>0</v>
      </c>
    </row>
    <row r="71" spans="1:26">
      <c r="A71" s="95">
        <v>16</v>
      </c>
      <c r="B71" s="95" t="str">
        <f>Singles!D110</f>
        <v>LOJDA 64 61</v>
      </c>
      <c r="C71" s="100" t="str">
        <f>IF(OR(LEFT(B71,LEN(B$17))=B$17,LEFT(B71,LEN(C$17))=C$17,LEN(B71)&lt;2),"","Wrong pick")</f>
        <v/>
      </c>
      <c r="D71" s="95">
        <f t="shared" ca="1" si="28"/>
        <v>0</v>
      </c>
      <c r="G71" s="95" t="str">
        <f>IF(B71=0,"",IF(LEFT(B71,LEN(B$17))=B$17,B$17,C$17))</f>
        <v>lojda</v>
      </c>
      <c r="H71" s="95" t="str">
        <f t="shared" si="29"/>
        <v>2-0</v>
      </c>
      <c r="I71" s="95" t="str">
        <f ca="1">IF(AND(J71=Singles!$H$21,INDIRECT(ADDRESS(A71+1,6,1))=0,NOT(INDIRECT(ADDRESS(A71+1,5,1))="")),IF(D71=0,IF(H71=H89,"",G71&amp;" "&amp;H71&amp;" v "&amp;H89&amp;", "),G71&amp;" "&amp;H71&amp;" vs. "&amp;G89&amp;" "&amp;H89&amp;", "),"")</f>
        <v/>
      </c>
      <c r="J71" s="97">
        <f>Singles!H$18</f>
        <v>1</v>
      </c>
      <c r="K71" s="95" t="str">
        <f t="shared" si="30"/>
        <v>PTS</v>
      </c>
      <c r="L71" s="95" t="str">
        <f t="shared" si="31"/>
        <v>64 61</v>
      </c>
      <c r="M71" s="95" t="str">
        <f t="shared" si="32"/>
        <v>64 61</v>
      </c>
      <c r="N71" s="95" t="str">
        <f t="shared" si="33"/>
        <v>64 61</v>
      </c>
      <c r="O71" s="95" t="str">
        <f t="shared" si="34"/>
        <v>64 61</v>
      </c>
      <c r="P71" s="95" t="str">
        <f t="shared" si="35"/>
        <v>64 61</v>
      </c>
      <c r="Q71" s="95">
        <f>IF(AND(G71=T$17,LEN(G71)&gt;1),1,0)</f>
        <v>0</v>
      </c>
      <c r="R71" s="97">
        <f>Singles!D$18</f>
        <v>16</v>
      </c>
      <c r="S71" s="95">
        <f>IF(AND(H71=H$17,LEN(H71)&gt;1,Q71=1),1,0)</f>
        <v>0</v>
      </c>
      <c r="V71" s="97">
        <f>VLOOKUP(16,X56:Y71,2,0)</f>
        <v>1</v>
      </c>
      <c r="X71" s="95">
        <f t="shared" si="36"/>
        <v>16</v>
      </c>
      <c r="Y71" s="95">
        <f t="shared" si="37"/>
        <v>1</v>
      </c>
      <c r="Z71" s="95">
        <f t="shared" si="38"/>
        <v>0</v>
      </c>
    </row>
    <row r="72" spans="1:26">
      <c r="L72" s="98" t="s">
        <v>120</v>
      </c>
    </row>
    <row r="73" spans="1:26">
      <c r="A73" s="95">
        <f>IF(LEN(VLOOKUP(B73,Singles!$A$2:$B$33,2,0))&gt;0,VLOOKUP(B73,Singles!$A$2:$B$33,2,0),"")</f>
        <v>6</v>
      </c>
      <c r="B73" s="96" t="str">
        <f>Singles!A5</f>
        <v>Daniel_amr</v>
      </c>
      <c r="C73" s="96">
        <v>4</v>
      </c>
      <c r="D73" s="95" t="str">
        <f>VLOOKUP(B73,Singles!$A$2:$C$33,3,0)</f>
        <v>PER</v>
      </c>
      <c r="J73" s="95" t="s">
        <v>88</v>
      </c>
      <c r="Q73" s="95" t="s">
        <v>121</v>
      </c>
      <c r="S73" s="95" t="s">
        <v>122</v>
      </c>
      <c r="T73" s="95" t="str">
        <f>IF(LEN(A73)&gt;0,"("&amp;A73&amp;") "&amp;B73,B73)&amp;IF(LEN(D73)&gt;1," ("&amp;D73&amp;")","")</f>
        <v>(6) Daniel_amr (PER)</v>
      </c>
      <c r="V73" s="95" t="s">
        <v>123</v>
      </c>
      <c r="Y73" s="95" t="s">
        <v>123</v>
      </c>
    </row>
    <row r="74" spans="1:26">
      <c r="A74" s="95">
        <v>1</v>
      </c>
      <c r="B74" s="95" t="str">
        <f>Singles!E95</f>
        <v>TRAVAGLIA 46 75 75</v>
      </c>
      <c r="C74" s="99" t="str">
        <f>IF(OR(LEFT(B74,LEN(B$2))=B$2,LEFT(B74,LEN(C$2))=C$2,LEN(B74)&lt;2),"","Wrong pick")</f>
        <v/>
      </c>
      <c r="E74" s="95" t="str">
        <f ca="1">IF(AND(D56=1,J74=$I$2),G74&amp;", ","")&amp;IF(AND(D57=1,J75=$I$2),G75&amp;", ","")&amp;IF(AND(D58=1,J76=$I$2),G76&amp;", ","")&amp;IF(AND(D59=1,J77=$I$2),G77&amp;", ","")&amp;IF(AND(D60=1,J78=$I$2),G78&amp;", ","")&amp;IF(AND(D61=1,J79=$I$2),G79&amp;", ","")&amp;IF(AND(D62=1,J80=$I$2),G80&amp;", ","")&amp;IF(AND(D63=1,J81=$I$2),G81&amp;", ","")&amp;IF(AND(D64=1,J82=$I$2),G82&amp;", ","")&amp;IF(AND(D65=1,J83=$I$2),G83&amp;", ","")&amp;IF(AND(D66=1,J84=$I$2),G84&amp;", ","")&amp;IF(AND(D67=1,J85=$I$2),G85&amp;", ","")&amp;IF(AND(D68=1,J86=$I$2),G86&amp;", ","")&amp;IF(AND(D69=1,J87=$I$2),G87&amp;", ","")&amp;IF(AND(D70=1,J88=$I$2),G88&amp;", ","")&amp;IF(AND(D71=1,J89=$I$2),G89&amp;", ","")</f>
        <v xml:space="preserve">Travaglia, Gaio, Duran, collinari, santos, </v>
      </c>
      <c r="F74" s="95" t="str">
        <f>IF(AND(SUM(Z74:Z89)=$I$4,NOT(B73="Bye")),"Missing picks from "&amp;B73&amp;" ","")</f>
        <v/>
      </c>
      <c r="G74" s="95" t="str">
        <f>IF(B74=0,"",IF(LEFT(B74,LEN(B$2))=B$2,B$2,C$2))</f>
        <v>Travaglia</v>
      </c>
      <c r="H74" s="95" t="str">
        <f t="shared" ref="H74:H89" si="39">IF(L74="","",IF(K74="PTS",IF(LEN(O74)&lt;8,"2-0","2-1"),LEFT(O74,1)&amp;"-"&amp;RIGHT(O74,1)))</f>
        <v>2-1</v>
      </c>
      <c r="J74" s="97">
        <f>Singles!H$3</f>
        <v>1</v>
      </c>
      <c r="K74" s="95" t="str">
        <f t="shared" ref="K74:K89" si="40">IF(LEN(L74)&gt;0,IF(LEN(O74)&lt;4,"SR","PTS"),"")</f>
        <v>PTS</v>
      </c>
      <c r="L74" s="95" t="str">
        <f t="shared" ref="L74:L89" si="41">TRIM(RIGHT(B74,LEN(B74)-LEN(G74)))</f>
        <v>46 75 75</v>
      </c>
      <c r="M74" s="95" t="str">
        <f t="shared" ref="M74:M89" si="42">SUBSTITUTE(L74,"-","")</f>
        <v>46 75 75</v>
      </c>
      <c r="N74" s="95" t="str">
        <f t="shared" ref="N74:N89" si="43">SUBSTITUTE(M74,","," ")</f>
        <v>46 75 75</v>
      </c>
      <c r="O74" s="95" t="str">
        <f t="shared" ref="O74:O89" si="44">IF(AND(LEN(TRIM(SUBSTITUTE(P74,"/","")))&gt;6,OR(LEFT(TRIM(SUBSTITUTE(P74,"/","")),2)="20",LEFT(TRIM(SUBSTITUTE(P74,"/","")),2)="21")),RIGHT(TRIM(SUBSTITUTE(P74,"/","")),LEN(TRIM(SUBSTITUTE(P74,"/","")))-3),TRIM(SUBSTITUTE(P74,"/","")))</f>
        <v>46 75 75</v>
      </c>
      <c r="P74" s="95" t="str">
        <f t="shared" ref="P74:P89" si="45">SUBSTITUTE(N74,":","")</f>
        <v>46 75 75</v>
      </c>
      <c r="Q74" s="95">
        <f>IF(AND(G74=T$2,LEN(G74)&gt;1),1,0)</f>
        <v>0</v>
      </c>
      <c r="R74" s="97">
        <f>Singles!D$3</f>
        <v>1</v>
      </c>
      <c r="S74" s="95">
        <f>IF(AND(H74=H$2,LEN(H74)&gt;1,Q74=1),1,0)</f>
        <v>0</v>
      </c>
      <c r="T74" s="95" t="str">
        <f t="shared" ref="T74:T89" si="46">IF(V56=V74,"No","Winner")</f>
        <v>No</v>
      </c>
      <c r="U74" s="95" t="str">
        <f>IF(T74="Winner",IF(V74&gt;V56,B73,B55),"")</f>
        <v/>
      </c>
      <c r="V74" s="97">
        <f>VLOOKUP(1,X74:Y89,2,0)</f>
        <v>2</v>
      </c>
      <c r="W74" s="95">
        <v>1</v>
      </c>
      <c r="X74" s="95">
        <f t="shared" ref="X74:X89" si="47">R74</f>
        <v>1</v>
      </c>
      <c r="Y74" s="95">
        <f t="shared" ref="Y74:Y89" si="48">IF(Q74=1,IF(S74=1,4,3),IF(H74="2-1",2,1))</f>
        <v>2</v>
      </c>
      <c r="Z74" s="95">
        <f t="shared" ref="Z74:Z89" si="49">IF(AND($I$2=J74,B74=0),1,0)</f>
        <v>0</v>
      </c>
    </row>
    <row r="75" spans="1:26">
      <c r="A75" s="95">
        <v>2</v>
      </c>
      <c r="B75" s="95" t="str">
        <f>Singles!E96</f>
        <v>MACHADO 60 61</v>
      </c>
      <c r="C75" s="100" t="str">
        <f>IF(OR(LEFT(B75,LEN(B$3))=B$3,LEFT(B75,LEN(C$3))=C$3,LEN(B75)&lt;2),"","Wrong pick")</f>
        <v/>
      </c>
      <c r="G75" s="95" t="str">
        <f>IF(B75=0,"",IF(LEFT(B75,LEN(B$3))=B$3,B$3,C$3))</f>
        <v>Machado</v>
      </c>
      <c r="H75" s="95" t="str">
        <f t="shared" si="39"/>
        <v>2-0</v>
      </c>
      <c r="J75" s="97">
        <f>Singles!H$4</f>
        <v>1</v>
      </c>
      <c r="K75" s="95" t="str">
        <f t="shared" si="40"/>
        <v>PTS</v>
      </c>
      <c r="L75" s="95" t="str">
        <f t="shared" si="41"/>
        <v>60 61</v>
      </c>
      <c r="M75" s="95" t="str">
        <f t="shared" si="42"/>
        <v>60 61</v>
      </c>
      <c r="N75" s="95" t="str">
        <f t="shared" si="43"/>
        <v>60 61</v>
      </c>
      <c r="O75" s="95" t="str">
        <f t="shared" si="44"/>
        <v>60 61</v>
      </c>
      <c r="P75" s="95" t="str">
        <f t="shared" si="45"/>
        <v>60 61</v>
      </c>
      <c r="Q75" s="95">
        <f>IF(AND(G75=T$3,LEN(G75)&gt;1),1,0)</f>
        <v>0</v>
      </c>
      <c r="R75" s="97">
        <f>Singles!D$4</f>
        <v>2</v>
      </c>
      <c r="S75" s="95">
        <f>IF(AND(H75=H$3,LEN(H75)&gt;1,Q75=1),1,0)</f>
        <v>0</v>
      </c>
      <c r="T75" s="95" t="str">
        <f t="shared" si="46"/>
        <v>No</v>
      </c>
      <c r="U75" s="95" t="str">
        <f>IF(T75="Winner",IF(V75&gt;V57,B73,B55),"")</f>
        <v/>
      </c>
      <c r="V75" s="97">
        <f>VLOOKUP(2,X74:Y89,2,0)</f>
        <v>1</v>
      </c>
      <c r="W75" s="95">
        <v>2</v>
      </c>
      <c r="X75" s="95">
        <f t="shared" si="47"/>
        <v>2</v>
      </c>
      <c r="Y75" s="95">
        <f t="shared" si="48"/>
        <v>1</v>
      </c>
      <c r="Z75" s="95">
        <f t="shared" si="49"/>
        <v>0</v>
      </c>
    </row>
    <row r="76" spans="1:26">
      <c r="A76" s="95">
        <v>3</v>
      </c>
      <c r="B76" s="95" t="str">
        <f>Singles!E97</f>
        <v>JUNQUEIRA 61 62</v>
      </c>
      <c r="C76" s="100" t="str">
        <f>IF(OR(LEFT(B76,LEN(B$4))=B$4,LEFT(B76,LEN(C$4))=C$4,LEN(B76)&lt;2),"","Wrong pick")</f>
        <v/>
      </c>
      <c r="G76" s="95" t="str">
        <f>IF(B76=0,"",IF(LEFT(B76,LEN(B$4))=B$4,B$4,C$4))</f>
        <v>Junqueira</v>
      </c>
      <c r="H76" s="95" t="str">
        <f t="shared" si="39"/>
        <v>2-0</v>
      </c>
      <c r="J76" s="97">
        <f>Singles!H$5</f>
        <v>1</v>
      </c>
      <c r="K76" s="95" t="str">
        <f t="shared" si="40"/>
        <v>PTS</v>
      </c>
      <c r="L76" s="95" t="str">
        <f t="shared" si="41"/>
        <v>61 62</v>
      </c>
      <c r="M76" s="95" t="str">
        <f t="shared" si="42"/>
        <v>61 62</v>
      </c>
      <c r="N76" s="95" t="str">
        <f t="shared" si="43"/>
        <v>61 62</v>
      </c>
      <c r="O76" s="95" t="str">
        <f t="shared" si="44"/>
        <v>61 62</v>
      </c>
      <c r="P76" s="95" t="str">
        <f t="shared" si="45"/>
        <v>61 62</v>
      </c>
      <c r="Q76" s="95">
        <f>IF(AND(G76=T$4,LEN(G76)&gt;1),1,0)</f>
        <v>0</v>
      </c>
      <c r="R76" s="97">
        <f>Singles!D$5</f>
        <v>3</v>
      </c>
      <c r="S76" s="95">
        <f>IF(AND(H76=H$4,LEN(H76)&gt;1,Q76=1),1,0)</f>
        <v>0</v>
      </c>
      <c r="T76" s="95" t="str">
        <f t="shared" si="46"/>
        <v>No</v>
      </c>
      <c r="U76" s="95" t="str">
        <f>IF(T76="Winner",IF(V76&gt;V58,B73,B55),"")</f>
        <v/>
      </c>
      <c r="V76" s="97">
        <f>VLOOKUP(3,X74:Y89,2,0)</f>
        <v>1</v>
      </c>
      <c r="W76" s="95">
        <v>3</v>
      </c>
      <c r="X76" s="95">
        <f t="shared" si="47"/>
        <v>3</v>
      </c>
      <c r="Y76" s="95">
        <f t="shared" si="48"/>
        <v>1</v>
      </c>
      <c r="Z76" s="95">
        <f t="shared" si="49"/>
        <v>0</v>
      </c>
    </row>
    <row r="77" spans="1:26">
      <c r="A77" s="95">
        <v>4</v>
      </c>
      <c r="B77" s="95" t="str">
        <f>Singles!E98</f>
        <v>GAIO 62 76</v>
      </c>
      <c r="C77" s="100" t="str">
        <f>IF(OR(LEFT(B77,LEN(B$5))=B$5,LEFT(B77,LEN(C$5))=C$5,LEN(B77)&lt;2),"","Wrong pick")</f>
        <v/>
      </c>
      <c r="G77" s="95" t="str">
        <f>IF(B77=0,"",IF(LEFT(B77,LEN(B$5))=B$5,B$5,C$5))</f>
        <v>Gaio</v>
      </c>
      <c r="H77" s="95" t="str">
        <f t="shared" si="39"/>
        <v>2-0</v>
      </c>
      <c r="J77" s="97">
        <f>Singles!H$6</f>
        <v>1</v>
      </c>
      <c r="K77" s="95" t="str">
        <f t="shared" si="40"/>
        <v>PTS</v>
      </c>
      <c r="L77" s="95" t="str">
        <f t="shared" si="41"/>
        <v>62 76</v>
      </c>
      <c r="M77" s="95" t="str">
        <f t="shared" si="42"/>
        <v>62 76</v>
      </c>
      <c r="N77" s="95" t="str">
        <f t="shared" si="43"/>
        <v>62 76</v>
      </c>
      <c r="O77" s="95" t="str">
        <f t="shared" si="44"/>
        <v>62 76</v>
      </c>
      <c r="P77" s="95" t="str">
        <f t="shared" si="45"/>
        <v>62 76</v>
      </c>
      <c r="Q77" s="95">
        <f>IF(AND(G77=T$5,LEN(G77)&gt;1),1,0)</f>
        <v>0</v>
      </c>
      <c r="R77" s="97">
        <f>Singles!D$6</f>
        <v>4</v>
      </c>
      <c r="S77" s="95">
        <f>IF(AND(H77=H$5,LEN(H77)&gt;1,Q77=1),1,0)</f>
        <v>0</v>
      </c>
      <c r="T77" s="95" t="str">
        <f t="shared" si="46"/>
        <v>Winner</v>
      </c>
      <c r="U77" s="95" t="str">
        <f>IF(T77="Winner",IF(V77&gt;V59,B73,B55),"")</f>
        <v>Lazyking</v>
      </c>
      <c r="V77" s="97">
        <f>VLOOKUP(4,X74:Y89,2,0)</f>
        <v>1</v>
      </c>
      <c r="W77" s="95">
        <v>4</v>
      </c>
      <c r="X77" s="95">
        <f t="shared" si="47"/>
        <v>4</v>
      </c>
      <c r="Y77" s="95">
        <f t="shared" si="48"/>
        <v>1</v>
      </c>
      <c r="Z77" s="95">
        <f t="shared" si="49"/>
        <v>0</v>
      </c>
    </row>
    <row r="78" spans="1:26">
      <c r="A78" s="95">
        <v>5</v>
      </c>
      <c r="B78" s="95" t="str">
        <f>Singles!E99</f>
        <v>PODLIPBIK-CASTILLO 61 61</v>
      </c>
      <c r="C78" s="100" t="str">
        <f>IF(OR(LEFT(B78,LEN(B$6))=B$6,LEFT(B78,LEN(C$6))=C$6,LEN(B78)&lt;2),"","Wrong pick")</f>
        <v/>
      </c>
      <c r="G78" s="95" t="str">
        <f>IF(B78=0,"",IF(LEFT(B78,LEN(B$6))=B$6,B$6,C$6))</f>
        <v>PODLIPBIK-CASTILLO</v>
      </c>
      <c r="H78" s="95" t="str">
        <f t="shared" si="39"/>
        <v>2-0</v>
      </c>
      <c r="J78" s="97">
        <f>Singles!H$7</f>
        <v>1</v>
      </c>
      <c r="K78" s="95" t="str">
        <f t="shared" si="40"/>
        <v>PTS</v>
      </c>
      <c r="L78" s="95" t="str">
        <f t="shared" si="41"/>
        <v>61 61</v>
      </c>
      <c r="M78" s="95" t="str">
        <f t="shared" si="42"/>
        <v>61 61</v>
      </c>
      <c r="N78" s="95" t="str">
        <f t="shared" si="43"/>
        <v>61 61</v>
      </c>
      <c r="O78" s="95" t="str">
        <f t="shared" si="44"/>
        <v>61 61</v>
      </c>
      <c r="P78" s="95" t="str">
        <f t="shared" si="45"/>
        <v>61 61</v>
      </c>
      <c r="Q78" s="95">
        <f>IF(AND(G78=T$6,LEN(G78)&gt;1),1,0)</f>
        <v>0</v>
      </c>
      <c r="R78" s="97">
        <f>Singles!D$7</f>
        <v>5</v>
      </c>
      <c r="S78" s="95">
        <f>IF(AND(H78=H$6,LEN(H78)&gt;1,Q78=1),1,0)</f>
        <v>0</v>
      </c>
      <c r="T78" s="95" t="str">
        <f t="shared" si="46"/>
        <v>No</v>
      </c>
      <c r="U78" s="95" t="str">
        <f>IF(T78="Winner",IF(V78&gt;V60,B73,B55),"")</f>
        <v/>
      </c>
      <c r="V78" s="97">
        <f>VLOOKUP(5,X74:Y89,2,0)</f>
        <v>1</v>
      </c>
      <c r="W78" s="95">
        <v>5</v>
      </c>
      <c r="X78" s="95">
        <f t="shared" si="47"/>
        <v>5</v>
      </c>
      <c r="Y78" s="95">
        <f t="shared" si="48"/>
        <v>1</v>
      </c>
      <c r="Z78" s="95">
        <f t="shared" si="49"/>
        <v>0</v>
      </c>
    </row>
    <row r="79" spans="1:26">
      <c r="A79" s="95">
        <v>6</v>
      </c>
      <c r="B79" s="95" t="str">
        <f>Singles!E100</f>
        <v>DURAN 63 63</v>
      </c>
      <c r="C79" s="100" t="str">
        <f>IF(OR(LEFT(B79,LEN(B$7))=B$7,LEFT(B79,LEN(C$7))=C$7,LEN(B79)&lt;2),"","Wrong pick")</f>
        <v/>
      </c>
      <c r="G79" s="95" t="str">
        <f>IF(B79=0,"",IF(LEFT(B79,LEN(B$7))=B$7,B$7,C$7))</f>
        <v>Duran</v>
      </c>
      <c r="H79" s="95" t="str">
        <f t="shared" si="39"/>
        <v>2-0</v>
      </c>
      <c r="J79" s="97">
        <f>Singles!H$8</f>
        <v>1</v>
      </c>
      <c r="K79" s="95" t="str">
        <f t="shared" si="40"/>
        <v>PTS</v>
      </c>
      <c r="L79" s="95" t="str">
        <f t="shared" si="41"/>
        <v>63 63</v>
      </c>
      <c r="M79" s="95" t="str">
        <f t="shared" si="42"/>
        <v>63 63</v>
      </c>
      <c r="N79" s="95" t="str">
        <f t="shared" si="43"/>
        <v>63 63</v>
      </c>
      <c r="O79" s="95" t="str">
        <f t="shared" si="44"/>
        <v>63 63</v>
      </c>
      <c r="P79" s="95" t="str">
        <f t="shared" si="45"/>
        <v>63 63</v>
      </c>
      <c r="Q79" s="95">
        <f>IF(AND(G79=T$7,LEN(G79)&gt;1),1,0)</f>
        <v>0</v>
      </c>
      <c r="R79" s="97">
        <f>Singles!D$8</f>
        <v>6</v>
      </c>
      <c r="S79" s="95">
        <f>IF(AND(H79=H$7,LEN(H79)&gt;1,Q79=1),1,0)</f>
        <v>0</v>
      </c>
      <c r="T79" s="95" t="str">
        <f t="shared" si="46"/>
        <v>Winner</v>
      </c>
      <c r="U79" s="95" t="str">
        <f>IF(T79="Winner",IF(V79&gt;V61,B73,B55),"")</f>
        <v>Lazyking</v>
      </c>
      <c r="V79" s="97">
        <f>VLOOKUP(6,X74:Y89,2,0)</f>
        <v>1</v>
      </c>
      <c r="W79" s="95">
        <v>6</v>
      </c>
      <c r="X79" s="95">
        <f t="shared" si="47"/>
        <v>6</v>
      </c>
      <c r="Y79" s="95">
        <f t="shared" si="48"/>
        <v>1</v>
      </c>
      <c r="Z79" s="95">
        <f t="shared" si="49"/>
        <v>0</v>
      </c>
    </row>
    <row r="80" spans="1:26">
      <c r="A80" s="95">
        <v>7</v>
      </c>
      <c r="B80" s="95" t="str">
        <f>Singles!E101</f>
        <v>MICHON 63 60</v>
      </c>
      <c r="C80" s="100" t="str">
        <f>IF(OR(LEFT(B80,LEN(B$8))=B$8,LEFT(B80,LEN(C$8))=C$8,LEN(B80)&lt;2),"","Wrong pick")</f>
        <v/>
      </c>
      <c r="G80" s="95" t="str">
        <f>IF(B80=0,"",IF(LEFT(B80,LEN(B$8))=B$8,B$8,C$8))</f>
        <v>Michon</v>
      </c>
      <c r="H80" s="95" t="str">
        <f t="shared" si="39"/>
        <v>2-0</v>
      </c>
      <c r="J80" s="97">
        <f>Singles!H$9</f>
        <v>1</v>
      </c>
      <c r="K80" s="95" t="str">
        <f t="shared" si="40"/>
        <v>PTS</v>
      </c>
      <c r="L80" s="95" t="str">
        <f t="shared" si="41"/>
        <v>63 60</v>
      </c>
      <c r="M80" s="95" t="str">
        <f t="shared" si="42"/>
        <v>63 60</v>
      </c>
      <c r="N80" s="95" t="str">
        <f t="shared" si="43"/>
        <v>63 60</v>
      </c>
      <c r="O80" s="95" t="str">
        <f t="shared" si="44"/>
        <v>63 60</v>
      </c>
      <c r="P80" s="95" t="str">
        <f t="shared" si="45"/>
        <v>63 60</v>
      </c>
      <c r="Q80" s="95">
        <f>IF(AND(G80=T$8,LEN(G80)&gt;1),1,0)</f>
        <v>0</v>
      </c>
      <c r="R80" s="97">
        <f>Singles!D$9</f>
        <v>7</v>
      </c>
      <c r="S80" s="95">
        <f>IF(AND(H80=H$8,LEN(H80)&gt;1,Q80=1),1,0)</f>
        <v>0</v>
      </c>
      <c r="T80" s="95" t="str">
        <f t="shared" si="46"/>
        <v>No</v>
      </c>
      <c r="U80" s="95" t="str">
        <f>IF(T80="Winner",IF(V80&gt;V62,B73,B55),"")</f>
        <v/>
      </c>
      <c r="V80" s="97">
        <f>VLOOKUP(7,X74:Y89,2,0)</f>
        <v>1</v>
      </c>
      <c r="W80" s="95">
        <v>7</v>
      </c>
      <c r="X80" s="95">
        <f t="shared" si="47"/>
        <v>7</v>
      </c>
      <c r="Y80" s="95">
        <f t="shared" si="48"/>
        <v>1</v>
      </c>
      <c r="Z80" s="95">
        <f t="shared" si="49"/>
        <v>0</v>
      </c>
    </row>
    <row r="81" spans="1:26">
      <c r="A81" s="95">
        <v>8</v>
      </c>
      <c r="B81" s="95" t="str">
        <f>Singles!E102</f>
        <v>GONZALEZ 60 60</v>
      </c>
      <c r="C81" s="100" t="str">
        <f>IF(OR(LEFT(B81,LEN(B$9))=B$9,LEFT(B81,LEN(C$9))=C$9,LEN(B81)&lt;2),"","Wrong pick")</f>
        <v/>
      </c>
      <c r="G81" s="95" t="str">
        <f>IF(B81=0,"",IF(LEFT(B81,LEN(B$9))=B$9,B$9,C$9))</f>
        <v>gonzalez</v>
      </c>
      <c r="H81" s="95" t="str">
        <f t="shared" si="39"/>
        <v>2-0</v>
      </c>
      <c r="J81" s="97">
        <f>Singles!H$10</f>
        <v>1</v>
      </c>
      <c r="K81" s="95" t="str">
        <f t="shared" si="40"/>
        <v>PTS</v>
      </c>
      <c r="L81" s="95" t="str">
        <f t="shared" si="41"/>
        <v>60 60</v>
      </c>
      <c r="M81" s="95" t="str">
        <f t="shared" si="42"/>
        <v>60 60</v>
      </c>
      <c r="N81" s="95" t="str">
        <f t="shared" si="43"/>
        <v>60 60</v>
      </c>
      <c r="O81" s="95" t="str">
        <f t="shared" si="44"/>
        <v>60 60</v>
      </c>
      <c r="P81" s="95" t="str">
        <f t="shared" si="45"/>
        <v>60 60</v>
      </c>
      <c r="Q81" s="95">
        <f>IF(AND(G81=T$9,LEN(G81)&gt;1),1,0)</f>
        <v>0</v>
      </c>
      <c r="R81" s="97">
        <f>Singles!D$10</f>
        <v>8</v>
      </c>
      <c r="S81" s="95">
        <f>IF(AND(H81=H$9,LEN(H81)&gt;1,Q81=1),1,0)</f>
        <v>0</v>
      </c>
      <c r="T81" s="95" t="str">
        <f t="shared" si="46"/>
        <v>No</v>
      </c>
      <c r="U81" s="95" t="str">
        <f>IF(T81="Winner",IF(V81&gt;V63,B73,B55),"")</f>
        <v/>
      </c>
      <c r="V81" s="97">
        <f>VLOOKUP(8,X74:Y89,2,0)</f>
        <v>1</v>
      </c>
      <c r="W81" s="95">
        <v>8</v>
      </c>
      <c r="X81" s="95">
        <f t="shared" si="47"/>
        <v>8</v>
      </c>
      <c r="Y81" s="95">
        <f t="shared" si="48"/>
        <v>1</v>
      </c>
      <c r="Z81" s="95">
        <f t="shared" si="49"/>
        <v>0</v>
      </c>
    </row>
    <row r="82" spans="1:26">
      <c r="A82" s="95">
        <v>9</v>
      </c>
      <c r="B82" s="95" t="str">
        <f>Singles!E103</f>
        <v>PEREIRA 76 76</v>
      </c>
      <c r="C82" s="100" t="str">
        <f>IF(OR(LEFT(B82,LEN(B$10))=B$10,LEFT(B82,LEN(C$10))=C$10,LEN(B82)&lt;2),"","Wrong pick")</f>
        <v/>
      </c>
      <c r="G82" s="95" t="str">
        <f>IF(B82=0,"",IF(LEFT(B82,LEN(B$10))=B$10,B$10,C$10))</f>
        <v>pereira</v>
      </c>
      <c r="H82" s="95" t="str">
        <f t="shared" si="39"/>
        <v>2-0</v>
      </c>
      <c r="J82" s="97">
        <f>Singles!H$11</f>
        <v>1</v>
      </c>
      <c r="K82" s="95" t="str">
        <f t="shared" si="40"/>
        <v>PTS</v>
      </c>
      <c r="L82" s="95" t="str">
        <f t="shared" si="41"/>
        <v>76 76</v>
      </c>
      <c r="M82" s="95" t="str">
        <f t="shared" si="42"/>
        <v>76 76</v>
      </c>
      <c r="N82" s="95" t="str">
        <f t="shared" si="43"/>
        <v>76 76</v>
      </c>
      <c r="O82" s="95" t="str">
        <f t="shared" si="44"/>
        <v>76 76</v>
      </c>
      <c r="P82" s="95" t="str">
        <f t="shared" si="45"/>
        <v>76 76</v>
      </c>
      <c r="Q82" s="95">
        <f>IF(AND(G82=T$10,LEN(G82)&gt;1),1,0)</f>
        <v>0</v>
      </c>
      <c r="R82" s="97">
        <f>Singles!D$11</f>
        <v>9</v>
      </c>
      <c r="S82" s="95">
        <f>IF(AND(H82=H$10,LEN(H82)&gt;1,Q82=1),1,0)</f>
        <v>0</v>
      </c>
      <c r="T82" s="95" t="str">
        <f t="shared" si="46"/>
        <v>No</v>
      </c>
      <c r="U82" s="95" t="str">
        <f>IF(T82="Winner",IF(V82&gt;V64,B73,B55),"")</f>
        <v/>
      </c>
      <c r="V82" s="97">
        <f>VLOOKUP(9,X74:Y89,2,0)</f>
        <v>1</v>
      </c>
      <c r="W82" s="95">
        <v>9</v>
      </c>
      <c r="X82" s="95">
        <f t="shared" si="47"/>
        <v>9</v>
      </c>
      <c r="Y82" s="95">
        <f t="shared" si="48"/>
        <v>1</v>
      </c>
      <c r="Z82" s="95">
        <f t="shared" si="49"/>
        <v>0</v>
      </c>
    </row>
    <row r="83" spans="1:26">
      <c r="A83" s="95">
        <v>10</v>
      </c>
      <c r="B83" s="95" t="str">
        <f>Singles!E104</f>
        <v>COLLINARI 61 61</v>
      </c>
      <c r="C83" s="100" t="str">
        <f>IF(OR(LEFT(B83,LEN(B$11))=B$11,LEFT(B83,LEN(C$11))=C$11,LEN(B83)&lt;2),"","Wrong pick")</f>
        <v/>
      </c>
      <c r="G83" s="95" t="str">
        <f>IF(B83=0,"",IF(LEFT(B83,LEN(B$11))=B$11,B$11,C$11))</f>
        <v>collinari</v>
      </c>
      <c r="H83" s="95" t="str">
        <f t="shared" si="39"/>
        <v>2-0</v>
      </c>
      <c r="J83" s="97">
        <f>Singles!H$12</f>
        <v>1</v>
      </c>
      <c r="K83" s="95" t="str">
        <f t="shared" si="40"/>
        <v>PTS</v>
      </c>
      <c r="L83" s="95" t="str">
        <f t="shared" si="41"/>
        <v>61 61</v>
      </c>
      <c r="M83" s="95" t="str">
        <f t="shared" si="42"/>
        <v>61 61</v>
      </c>
      <c r="N83" s="95" t="str">
        <f t="shared" si="43"/>
        <v>61 61</v>
      </c>
      <c r="O83" s="95" t="str">
        <f t="shared" si="44"/>
        <v>61 61</v>
      </c>
      <c r="P83" s="95" t="str">
        <f t="shared" si="45"/>
        <v>61 61</v>
      </c>
      <c r="Q83" s="95">
        <f>IF(AND(G83=T$11,LEN(G83)&gt;1),1,0)</f>
        <v>0</v>
      </c>
      <c r="R83" s="97">
        <f>Singles!D$12</f>
        <v>10</v>
      </c>
      <c r="S83" s="95">
        <f>IF(AND(H83=H$11,LEN(H83)&gt;1,Q83=1),1,0)</f>
        <v>0</v>
      </c>
      <c r="T83" s="95" t="str">
        <f t="shared" si="46"/>
        <v>Winner</v>
      </c>
      <c r="U83" s="95" t="str">
        <f>IF(T83="Winner",IF(V83&gt;V65,B73,B55),"")</f>
        <v>Lazyking</v>
      </c>
      <c r="V83" s="97">
        <f>VLOOKUP(10,X74:Y89,2,0)</f>
        <v>1</v>
      </c>
      <c r="W83" s="95">
        <v>10</v>
      </c>
      <c r="X83" s="95">
        <f t="shared" si="47"/>
        <v>10</v>
      </c>
      <c r="Y83" s="95">
        <f t="shared" si="48"/>
        <v>1</v>
      </c>
      <c r="Z83" s="95">
        <f t="shared" si="49"/>
        <v>0</v>
      </c>
    </row>
    <row r="84" spans="1:26">
      <c r="A84" s="95">
        <v>11</v>
      </c>
      <c r="B84" s="95" t="str">
        <f>Singles!E105</f>
        <v>GINER 76 64</v>
      </c>
      <c r="C84" s="100" t="str">
        <f>IF(OR(LEFT(B84,LEN(B$12))=B$12,LEFT(B84,LEN(C$12))=C$12,LEN(B84)&lt;2),"","Wrong pick")</f>
        <v/>
      </c>
      <c r="G84" s="95" t="str">
        <f>IF(B84=0,"",IF(LEFT(B84,LEN(B$12))=B$12,B$12,C$12))</f>
        <v>giner</v>
      </c>
      <c r="H84" s="95" t="str">
        <f t="shared" si="39"/>
        <v>2-0</v>
      </c>
      <c r="J84" s="97">
        <f>Singles!H$13</f>
        <v>1</v>
      </c>
      <c r="K84" s="95" t="str">
        <f t="shared" si="40"/>
        <v>PTS</v>
      </c>
      <c r="L84" s="95" t="str">
        <f t="shared" si="41"/>
        <v>76 64</v>
      </c>
      <c r="M84" s="95" t="str">
        <f t="shared" si="42"/>
        <v>76 64</v>
      </c>
      <c r="N84" s="95" t="str">
        <f t="shared" si="43"/>
        <v>76 64</v>
      </c>
      <c r="O84" s="95" t="str">
        <f t="shared" si="44"/>
        <v>76 64</v>
      </c>
      <c r="P84" s="95" t="str">
        <f t="shared" si="45"/>
        <v>76 64</v>
      </c>
      <c r="Q84" s="95">
        <f>IF(AND(G84=T$12,LEN(G84)&gt;1),1,0)</f>
        <v>0</v>
      </c>
      <c r="R84" s="97">
        <f>Singles!D$13</f>
        <v>11</v>
      </c>
      <c r="S84" s="95">
        <f>IF(AND(H84=H$12,LEN(H84)&gt;1,Q84=1),1,0)</f>
        <v>0</v>
      </c>
      <c r="T84" s="95" t="str">
        <f t="shared" si="46"/>
        <v>No</v>
      </c>
      <c r="U84" s="95" t="str">
        <f>IF(T84="Winner",IF(V84&gt;V66,B73,B55),"")</f>
        <v/>
      </c>
      <c r="V84" s="97">
        <f>VLOOKUP(11,X74:Y89,2,0)</f>
        <v>1</v>
      </c>
      <c r="W84" s="95">
        <v>11</v>
      </c>
      <c r="X84" s="95">
        <f t="shared" si="47"/>
        <v>11</v>
      </c>
      <c r="Y84" s="95">
        <f t="shared" si="48"/>
        <v>1</v>
      </c>
      <c r="Z84" s="95">
        <f t="shared" si="49"/>
        <v>0</v>
      </c>
    </row>
    <row r="85" spans="1:26">
      <c r="A85" s="95">
        <v>12</v>
      </c>
      <c r="B85" s="95" t="str">
        <f>Singles!E106</f>
        <v>TURINI 57 76 76</v>
      </c>
      <c r="C85" s="100" t="str">
        <f>IF(OR(LEFT(B85,LEN(B$13))=B$13,LEFT(B85,LEN(C$13))=C$13,LEN(B85)&lt;2),"","Wrong pick")</f>
        <v/>
      </c>
      <c r="G85" s="95" t="str">
        <f>IF(B85=0,"",IF(LEFT(B85,LEN(B$13))=B$13,B$13,C$13))</f>
        <v>turini</v>
      </c>
      <c r="H85" s="95" t="str">
        <f t="shared" si="39"/>
        <v>2-1</v>
      </c>
      <c r="J85" s="97">
        <f>Singles!H$14</f>
        <v>1</v>
      </c>
      <c r="K85" s="95" t="str">
        <f t="shared" si="40"/>
        <v>PTS</v>
      </c>
      <c r="L85" s="95" t="str">
        <f t="shared" si="41"/>
        <v>57 76 76</v>
      </c>
      <c r="M85" s="95" t="str">
        <f t="shared" si="42"/>
        <v>57 76 76</v>
      </c>
      <c r="N85" s="95" t="str">
        <f t="shared" si="43"/>
        <v>57 76 76</v>
      </c>
      <c r="O85" s="95" t="str">
        <f t="shared" si="44"/>
        <v>57 76 76</v>
      </c>
      <c r="P85" s="95" t="str">
        <f t="shared" si="45"/>
        <v>57 76 76</v>
      </c>
      <c r="Q85" s="95">
        <f>IF(AND(G85=T$13,LEN(G85)&gt;1),1,0)</f>
        <v>0</v>
      </c>
      <c r="R85" s="97">
        <f>Singles!D$14</f>
        <v>12</v>
      </c>
      <c r="S85" s="95">
        <f>IF(AND(H85=H$13,LEN(H85)&gt;1,Q85=1),1,0)</f>
        <v>0</v>
      </c>
      <c r="T85" s="95" t="str">
        <f t="shared" si="46"/>
        <v>Winner</v>
      </c>
      <c r="U85" s="95" t="str">
        <f>IF(T85="Winner",IF(V85&gt;V67,B73,B55),"")</f>
        <v>Daniel_amr</v>
      </c>
      <c r="V85" s="97">
        <f>VLOOKUP(12,X74:Y89,2,0)</f>
        <v>2</v>
      </c>
      <c r="W85" s="95">
        <v>12</v>
      </c>
      <c r="X85" s="95">
        <f t="shared" si="47"/>
        <v>12</v>
      </c>
      <c r="Y85" s="95">
        <f t="shared" si="48"/>
        <v>2</v>
      </c>
      <c r="Z85" s="95">
        <f t="shared" si="49"/>
        <v>0</v>
      </c>
    </row>
    <row r="86" spans="1:26">
      <c r="A86" s="95">
        <v>13</v>
      </c>
      <c r="B86" s="95" t="str">
        <f>Singles!E107</f>
        <v>LOBKOV 60 60</v>
      </c>
      <c r="C86" s="100" t="str">
        <f>IF(OR(LEFT(B86,LEN(B$14))=B$14,LEFT(B86,LEN(C$14))=C$14,LEN(B86)&lt;2),"","Wrong pick")</f>
        <v/>
      </c>
      <c r="G86" s="95" t="str">
        <f>IF(B86=0,"",IF(LEFT(B86,LEN(B$14))=B$14,B$14,C$14))</f>
        <v>lobkov</v>
      </c>
      <c r="H86" s="95" t="str">
        <f t="shared" si="39"/>
        <v>2-0</v>
      </c>
      <c r="J86" s="97">
        <f>Singles!H$15</f>
        <v>1</v>
      </c>
      <c r="K86" s="95" t="str">
        <f t="shared" si="40"/>
        <v>PTS</v>
      </c>
      <c r="L86" s="95" t="str">
        <f t="shared" si="41"/>
        <v>60 60</v>
      </c>
      <c r="M86" s="95" t="str">
        <f t="shared" si="42"/>
        <v>60 60</v>
      </c>
      <c r="N86" s="95" t="str">
        <f t="shared" si="43"/>
        <v>60 60</v>
      </c>
      <c r="O86" s="95" t="str">
        <f t="shared" si="44"/>
        <v>60 60</v>
      </c>
      <c r="P86" s="95" t="str">
        <f t="shared" si="45"/>
        <v>60 60</v>
      </c>
      <c r="Q86" s="95">
        <f>IF(AND(G86=T$14,LEN(G86)&gt;1),1,0)</f>
        <v>0</v>
      </c>
      <c r="R86" s="97">
        <f>Singles!D$15</f>
        <v>13</v>
      </c>
      <c r="S86" s="95">
        <f>IF(AND(H86=H$14,LEN(H86)&gt;1,Q86=1),1,0)</f>
        <v>0</v>
      </c>
      <c r="T86" s="95" t="str">
        <f t="shared" si="46"/>
        <v>No</v>
      </c>
      <c r="U86" s="95" t="str">
        <f>IF(T86="Winner",IF(V86&gt;V68,B73,B55),"")</f>
        <v/>
      </c>
      <c r="V86" s="97">
        <f>VLOOKUP(13,X74:Y89,2,0)</f>
        <v>1</v>
      </c>
      <c r="W86" s="95">
        <v>13</v>
      </c>
      <c r="X86" s="95">
        <f t="shared" si="47"/>
        <v>13</v>
      </c>
      <c r="Y86" s="95">
        <f t="shared" si="48"/>
        <v>1</v>
      </c>
      <c r="Z86" s="95">
        <f t="shared" si="49"/>
        <v>0</v>
      </c>
    </row>
    <row r="87" spans="1:26">
      <c r="A87" s="95">
        <v>14</v>
      </c>
      <c r="B87" s="95" t="str">
        <f>Singles!E108</f>
        <v>SANTOS 46 63 63</v>
      </c>
      <c r="C87" s="100" t="str">
        <f>IF(OR(LEFT(B87,LEN(B$15))=B$15,LEFT(B87,LEN(C$15))=C$15,LEN(B87)&lt;2),"","Wrong pick")</f>
        <v/>
      </c>
      <c r="G87" s="95" t="str">
        <f>IF(B87=0,"",IF(LEFT(B87,LEN(B$15))=B$15,B$15,C$15))</f>
        <v>santos</v>
      </c>
      <c r="H87" s="95" t="str">
        <f t="shared" si="39"/>
        <v>2-1</v>
      </c>
      <c r="J87" s="97">
        <f>Singles!H$16</f>
        <v>1</v>
      </c>
      <c r="K87" s="95" t="str">
        <f t="shared" si="40"/>
        <v>PTS</v>
      </c>
      <c r="L87" s="95" t="str">
        <f t="shared" si="41"/>
        <v>46 63 63</v>
      </c>
      <c r="M87" s="95" t="str">
        <f t="shared" si="42"/>
        <v>46 63 63</v>
      </c>
      <c r="N87" s="95" t="str">
        <f t="shared" si="43"/>
        <v>46 63 63</v>
      </c>
      <c r="O87" s="95" t="str">
        <f t="shared" si="44"/>
        <v>46 63 63</v>
      </c>
      <c r="P87" s="95" t="str">
        <f t="shared" si="45"/>
        <v>46 63 63</v>
      </c>
      <c r="Q87" s="95">
        <f>IF(AND(G87=T$15,LEN(G87)&gt;1),1,0)</f>
        <v>0</v>
      </c>
      <c r="R87" s="97">
        <f>Singles!D$16</f>
        <v>14</v>
      </c>
      <c r="S87" s="95">
        <f>IF(AND(H87=H$15,LEN(H87)&gt;1,Q87=1),1,0)</f>
        <v>0</v>
      </c>
      <c r="T87" s="95" t="str">
        <f t="shared" si="46"/>
        <v>Winner</v>
      </c>
      <c r="U87" s="95" t="str">
        <f>IF(T87="Winner",IF(V87&gt;V69,B73,B55),"")</f>
        <v>Daniel_amr</v>
      </c>
      <c r="V87" s="97">
        <f>VLOOKUP(14,X74:Y89,2,0)</f>
        <v>2</v>
      </c>
      <c r="W87" s="95">
        <v>14</v>
      </c>
      <c r="X87" s="95">
        <f t="shared" si="47"/>
        <v>14</v>
      </c>
      <c r="Y87" s="95">
        <f t="shared" si="48"/>
        <v>2</v>
      </c>
      <c r="Z87" s="95">
        <f t="shared" si="49"/>
        <v>0</v>
      </c>
    </row>
    <row r="88" spans="1:26">
      <c r="A88" s="95">
        <v>15</v>
      </c>
      <c r="B88" s="95" t="str">
        <f>Singles!E109</f>
        <v>SANTOS 63 63</v>
      </c>
      <c r="C88" s="100" t="str">
        <f>IF(OR(LEFT(B88,LEN(B$16))=B$16,LEFT(B88,LEN(C$16))=C$16,LEN(B88)&lt;2),"","Wrong pick")</f>
        <v/>
      </c>
      <c r="G88" s="95" t="str">
        <f>IF(B88=0,"",IF(LEFT(B88,LEN(B$16))=B$16,B$16,C$16))</f>
        <v>santos</v>
      </c>
      <c r="H88" s="95" t="str">
        <f t="shared" si="39"/>
        <v>2-0</v>
      </c>
      <c r="J88" s="97">
        <f>Singles!H$17</f>
        <v>1</v>
      </c>
      <c r="K88" s="95" t="str">
        <f t="shared" si="40"/>
        <v>PTS</v>
      </c>
      <c r="L88" s="95" t="str">
        <f t="shared" si="41"/>
        <v>63 63</v>
      </c>
      <c r="M88" s="95" t="str">
        <f t="shared" si="42"/>
        <v>63 63</v>
      </c>
      <c r="N88" s="95" t="str">
        <f t="shared" si="43"/>
        <v>63 63</v>
      </c>
      <c r="O88" s="95" t="str">
        <f t="shared" si="44"/>
        <v>63 63</v>
      </c>
      <c r="P88" s="95" t="str">
        <f t="shared" si="45"/>
        <v>63 63</v>
      </c>
      <c r="Q88" s="95">
        <f>IF(AND(G88=T$16,LEN(G88)&gt;1),1,0)</f>
        <v>0</v>
      </c>
      <c r="R88" s="97">
        <f>Singles!D$17</f>
        <v>15</v>
      </c>
      <c r="S88" s="95">
        <f>IF(AND(H88=H$16,LEN(H88)&gt;1,Q88=1),1,0)</f>
        <v>0</v>
      </c>
      <c r="T88" s="95" t="str">
        <f t="shared" si="46"/>
        <v>No</v>
      </c>
      <c r="U88" s="95" t="str">
        <f>IF(T88="Winner",IF(V88&gt;V70,B73,B55),"")</f>
        <v/>
      </c>
      <c r="V88" s="97">
        <f>VLOOKUP(15,X74:Y89,2,0)</f>
        <v>1</v>
      </c>
      <c r="W88" s="95">
        <v>15</v>
      </c>
      <c r="X88" s="95">
        <f t="shared" si="47"/>
        <v>15</v>
      </c>
      <c r="Y88" s="95">
        <f t="shared" si="48"/>
        <v>1</v>
      </c>
      <c r="Z88" s="95">
        <f t="shared" si="49"/>
        <v>0</v>
      </c>
    </row>
    <row r="89" spans="1:26">
      <c r="A89" s="95">
        <v>16</v>
      </c>
      <c r="B89" s="95" t="str">
        <f>Singles!E110</f>
        <v>LOJDA 60 61</v>
      </c>
      <c r="C89" s="100" t="str">
        <f>IF(OR(LEFT(B89,LEN(B$17))=B$17,LEFT(B89,LEN(C$17))=C$17,LEN(B89)&lt;2),"","Wrong pick")</f>
        <v/>
      </c>
      <c r="G89" s="95" t="str">
        <f>IF(B89=0,"",IF(LEFT(B89,LEN(B$17))=B$17,B$17,C$17))</f>
        <v>lojda</v>
      </c>
      <c r="H89" s="95" t="str">
        <f t="shared" si="39"/>
        <v>2-0</v>
      </c>
      <c r="J89" s="97">
        <f>Singles!H$18</f>
        <v>1</v>
      </c>
      <c r="K89" s="95" t="str">
        <f t="shared" si="40"/>
        <v>PTS</v>
      </c>
      <c r="L89" s="95" t="str">
        <f t="shared" si="41"/>
        <v>60 61</v>
      </c>
      <c r="M89" s="95" t="str">
        <f t="shared" si="42"/>
        <v>60 61</v>
      </c>
      <c r="N89" s="95" t="str">
        <f t="shared" si="43"/>
        <v>60 61</v>
      </c>
      <c r="O89" s="95" t="str">
        <f t="shared" si="44"/>
        <v>60 61</v>
      </c>
      <c r="P89" s="95" t="str">
        <f t="shared" si="45"/>
        <v>60 61</v>
      </c>
      <c r="Q89" s="95">
        <f>IF(AND(G89=T$17,LEN(G89)&gt;1),1,0)</f>
        <v>0</v>
      </c>
      <c r="R89" s="97">
        <f>Singles!D$18</f>
        <v>16</v>
      </c>
      <c r="S89" s="95">
        <f>IF(AND(H89=H$17,LEN(H89)&gt;1,Q89=1),1,0)</f>
        <v>0</v>
      </c>
      <c r="T89" s="95" t="str">
        <f t="shared" si="46"/>
        <v>No</v>
      </c>
      <c r="U89" s="95" t="str">
        <f>IF(T89="Winner",IF(V89&gt;V71,B73,B55),"")</f>
        <v/>
      </c>
      <c r="V89" s="97">
        <f>VLOOKUP(16,X74:Y89,2,0)</f>
        <v>1</v>
      </c>
      <c r="W89" s="95">
        <v>16</v>
      </c>
      <c r="X89" s="95">
        <f t="shared" si="47"/>
        <v>16</v>
      </c>
      <c r="Y89" s="95">
        <f t="shared" si="48"/>
        <v>1</v>
      </c>
      <c r="Z89" s="95">
        <f t="shared" si="49"/>
        <v>0</v>
      </c>
    </row>
    <row r="90" spans="1:26">
      <c r="T90" s="95" t="s">
        <v>89</v>
      </c>
      <c r="U90" s="95" t="s">
        <v>125</v>
      </c>
      <c r="W90" s="95">
        <v>17</v>
      </c>
    </row>
    <row r="91" spans="1:26">
      <c r="A91" s="95">
        <f>IF(LEN(VLOOKUP(B91,Singles!$A$2:$B$33,2,0))&gt;0,VLOOKUP(B91,Singles!$A$2:$B$33,2,0),"")</f>
        <v>2</v>
      </c>
      <c r="B91" s="96" t="str">
        <f>Singles!A6</f>
        <v>geangr</v>
      </c>
      <c r="C91" s="96">
        <v>5</v>
      </c>
      <c r="D91" s="95" t="str">
        <f>VLOOKUP(B91,Singles!$A$2:$C$33,3,0)</f>
        <v>BRA</v>
      </c>
      <c r="J91" s="95" t="s">
        <v>88</v>
      </c>
      <c r="Q91" s="95" t="s">
        <v>121</v>
      </c>
      <c r="S91" s="95" t="s">
        <v>122</v>
      </c>
      <c r="T91" s="95" t="str">
        <f>IF(LEN(A91)&gt;0,"("&amp;A91&amp;") "&amp;B91,B91)&amp;IF(LEN(D91)&gt;1," ("&amp;D91&amp;")","")</f>
        <v>(2) geangr (BRA)</v>
      </c>
      <c r="V91" s="95" t="s">
        <v>123</v>
      </c>
      <c r="Y91" s="95" t="s">
        <v>123</v>
      </c>
    </row>
    <row r="92" spans="1:26">
      <c r="A92" s="95">
        <v>1</v>
      </c>
      <c r="B92" s="95" t="str">
        <f>Singles!F95</f>
        <v>GHEM 6/4 6/3</v>
      </c>
      <c r="C92" s="99" t="str">
        <f>IF(OR(LEFT(B92,LEN(B$2))=B$2,LEFT(B92,LEN(C$2))=C$2,LEN(B92)&lt;2),"","Wrong pick")</f>
        <v/>
      </c>
      <c r="D92" s="95">
        <f t="shared" ref="D92:D107" ca="1" si="50">IF(OR(G92=G110,INDIRECT(ADDRESS(A92+1,6,1))&gt;0),0,1)</f>
        <v>1</v>
      </c>
      <c r="E92" s="95" t="str">
        <f ca="1">IF(AND(D92=1,J92=$I$2),G92&amp;", ","")&amp;IF(AND(D93=1,J93=$I$2),G93&amp;", ","")&amp;IF(AND(D94=1,J94=$I$2),G94&amp;", ","")&amp;IF(AND(D95=1,J95=$I$2),G95&amp;", ","")&amp;IF(AND(D96=1,J96=$I$2),G96&amp;", ","")&amp;IF(AND(D97=1,J97=$I$2),G97&amp;", ","")&amp;IF(AND(D98=1,J98=$I$2),G98&amp;", ","")&amp;IF(AND(D99=1,J99=$I$2),G99&amp;", ","")&amp;IF(AND(D100=1,J100=$I$2),G100&amp;", ","")&amp;IF(AND(D101=1,J101=$I$2),G101&amp;", ","")&amp;IF(AND(D102=1,J102=$I$2),G102&amp;", ","")&amp;IF(AND(D103=1,J103=$I$2),G103&amp;", ","")&amp;IF(AND(D104=1,J104=$I$2),G104&amp;", ","")&amp;IF(AND(D105=1,J105=$I$2),G105&amp;", ","")&amp;IF(AND(D106=1,J106=$I$2),G106&amp;", ","")&amp;IF(AND(D107=1,J107=$I$2),G107&amp;", ","")</f>
        <v xml:space="preserve">Ghem, Machado, Junqueira, Laranja, PODLIPBIK-CASTILLO, Lindell, Michon, gonzalez, pereira, collinari, giner, galdon, lobkov, santos, santos, lojda, </v>
      </c>
      <c r="F92" s="95" t="str">
        <f>IF(AND(SUM(Z92:Z107)=$I$4,NOT(B91="Bye")),"Missing picks from "&amp;B91&amp;" ","")</f>
        <v/>
      </c>
      <c r="G92" s="95" t="str">
        <f>IF(B92=0,"",IF(LEFT(B92,LEN(B$2))=B$2,B$2,C$2))</f>
        <v>Ghem</v>
      </c>
      <c r="H92" s="95" t="str">
        <f t="shared" ref="H92:H107" si="51">IF(L92="","",IF(K92="PTS",IF(LEN(O92)&lt;8,"2-0","2-1"),LEFT(O92,1)&amp;"-"&amp;RIGHT(O92,1)))</f>
        <v>2-0</v>
      </c>
      <c r="I92" s="95" t="str">
        <f ca="1">IF(AND(J92=Singles!$H$21,INDIRECT(ADDRESS(A92+1,6,1))=0,NOT(INDIRECT(ADDRESS(A92+1,5,1))="")),IF(D92=0,IF(H92=H110,"",G92&amp;" "&amp;H92&amp;" v "&amp;H110&amp;", "),G92&amp;" "&amp;H92&amp;" vs. "&amp;G110&amp;" "&amp;H110&amp;", "),"")</f>
        <v xml:space="preserve">Ghem 2-0 vs.  0-0, </v>
      </c>
      <c r="J92" s="97">
        <f>Singles!H$3</f>
        <v>1</v>
      </c>
      <c r="K92" s="95" t="str">
        <f t="shared" ref="K92:K107" si="52">IF(LEN(L92)&gt;0,IF(LEN(O92)&lt;4,"SR","PTS"),"")</f>
        <v>PTS</v>
      </c>
      <c r="L92" s="95" t="str">
        <f t="shared" ref="L92:L107" si="53">TRIM(RIGHT(B92,LEN(B92)-LEN(G92)))</f>
        <v>6/4 6/3</v>
      </c>
      <c r="M92" s="95" t="str">
        <f t="shared" ref="M92:M107" si="54">SUBSTITUTE(L92,"-","")</f>
        <v>6/4 6/3</v>
      </c>
      <c r="N92" s="95" t="str">
        <f t="shared" ref="N92:N107" si="55">SUBSTITUTE(M92,","," ")</f>
        <v>6/4 6/3</v>
      </c>
      <c r="O92" s="95" t="str">
        <f t="shared" ref="O92:O107" si="56">IF(AND(LEN(TRIM(SUBSTITUTE(P92,"/","")))&gt;6,OR(LEFT(TRIM(SUBSTITUTE(P92,"/","")),2)="20",LEFT(TRIM(SUBSTITUTE(P92,"/","")),2)="21")),RIGHT(TRIM(SUBSTITUTE(P92,"/","")),LEN(TRIM(SUBSTITUTE(P92,"/","")))-3),TRIM(SUBSTITUTE(P92,"/","")))</f>
        <v>64 63</v>
      </c>
      <c r="P92" s="95" t="str">
        <f t="shared" ref="P92:P107" si="57">SUBSTITUTE(N92,":","")</f>
        <v>6/4 6/3</v>
      </c>
      <c r="Q92" s="95">
        <f>IF(AND(G92=T$2,LEN(G92)&gt;1),1,0)</f>
        <v>0</v>
      </c>
      <c r="R92" s="97">
        <f>Singles!D$3</f>
        <v>1</v>
      </c>
      <c r="S92" s="95">
        <f>IF(AND(H92=H$2,LEN(H92)&gt;1,Q92=1),1,0)</f>
        <v>0</v>
      </c>
      <c r="T92" s="95" t="str">
        <f ca="1">" SR Differences: "&amp;IF(LEN(I92&amp;I93&amp;I94&amp;I95&amp;I96&amp;I97&amp;I98&amp;I99&amp;I100&amp;I101&amp;I102&amp;I103&amp;I104&amp;I105&amp;I106&amp;I107)&lt;3,"None..",I92&amp;I93&amp;I94&amp;I95&amp;I96&amp;I97&amp;I98&amp;I99&amp;I100&amp;I101&amp;I102&amp;I103&amp;I104&amp;I105&amp;I106&amp;I107)</f>
        <v xml:space="preserve"> SR Differences: Ghem 2-0 vs.  0-0, Machado 2-0 vs.  0-0, Junqueira 2-0 vs.  0-0, Laranja 2-1 vs.  0-0, PODLIPBIK-CASTILLO 2-0 vs.  0-0, Lindell 2-0 vs.  0-0, Michon 2-0 vs.  0-0, gonzalez 2-0 vs.  0-0, pereira 2-0 vs.  0-0, collinari 2-0 vs.  0-0, giner 2-0 vs.  0-0, galdon 2-1 vs.  0-0, lobkov 2-0 vs.  0-0, santos 2-0 vs.  0-0, santos 2-0 vs.  0-0, lojda 2-0 vs.  0-0, </v>
      </c>
      <c r="V92" s="97">
        <f>VLOOKUP(1,X92:Y107,2,0)</f>
        <v>1</v>
      </c>
      <c r="X92" s="95">
        <f t="shared" ref="X92:X107" si="58">R92</f>
        <v>1</v>
      </c>
      <c r="Y92" s="95">
        <f t="shared" ref="Y92:Y107" si="59">IF(Q92=1,IF(S92=1,4,3),IF(H92="2-1",2,1))</f>
        <v>1</v>
      </c>
      <c r="Z92" s="95">
        <f t="shared" ref="Z92:Z107" si="60">IF(AND($I$2=J92,B92=0),1,0)</f>
        <v>0</v>
      </c>
    </row>
    <row r="93" spans="1:26">
      <c r="A93" s="95">
        <v>2</v>
      </c>
      <c r="B93" s="95" t="str">
        <f>Singles!F96</f>
        <v>MACHADO 6/4 7/6</v>
      </c>
      <c r="C93" s="100" t="str">
        <f>IF(OR(LEFT(B93,LEN(B$3))=B$3,LEFT(B93,LEN(C$3))=C$3,LEN(B93)&lt;2),"","Wrong pick")</f>
        <v/>
      </c>
      <c r="D93" s="95">
        <f t="shared" ca="1" si="50"/>
        <v>1</v>
      </c>
      <c r="G93" s="95" t="str">
        <f>IF(B93=0,"",IF(LEFT(B93,LEN(B$3))=B$3,B$3,C$3))</f>
        <v>Machado</v>
      </c>
      <c r="H93" s="95" t="str">
        <f t="shared" si="51"/>
        <v>2-0</v>
      </c>
      <c r="I93" s="95" t="str">
        <f ca="1">IF(AND(J93=Singles!$H$21,INDIRECT(ADDRESS(A93+1,6,1))=0,NOT(INDIRECT(ADDRESS(A93+1,5,1))="")),IF(D93=0,IF(H93=H111,"",G93&amp;" "&amp;H93&amp;" v "&amp;H111&amp;", "),G93&amp;" "&amp;H93&amp;" vs. "&amp;G111&amp;" "&amp;H111&amp;", "),"")</f>
        <v xml:space="preserve">Machado 2-0 vs.  0-0, </v>
      </c>
      <c r="J93" s="97">
        <f>Singles!H$4</f>
        <v>1</v>
      </c>
      <c r="K93" s="95" t="str">
        <f t="shared" si="52"/>
        <v>PTS</v>
      </c>
      <c r="L93" s="95" t="str">
        <f t="shared" si="53"/>
        <v>6/4 7/6</v>
      </c>
      <c r="M93" s="95" t="str">
        <f t="shared" si="54"/>
        <v>6/4 7/6</v>
      </c>
      <c r="N93" s="95" t="str">
        <f t="shared" si="55"/>
        <v>6/4 7/6</v>
      </c>
      <c r="O93" s="95" t="str">
        <f t="shared" si="56"/>
        <v>64 76</v>
      </c>
      <c r="P93" s="95" t="str">
        <f t="shared" si="57"/>
        <v>6/4 7/6</v>
      </c>
      <c r="Q93" s="95">
        <f>IF(AND(G93=T$3,LEN(G93)&gt;1),1,0)</f>
        <v>0</v>
      </c>
      <c r="R93" s="97">
        <f>Singles!D$4</f>
        <v>2</v>
      </c>
      <c r="S93" s="95">
        <f>IF(AND(H93=H$3,LEN(H93)&gt;1,Q93=1),1,0)</f>
        <v>0</v>
      </c>
      <c r="T93" s="95" t="str">
        <f ca="1">IF(T94&gt;0,LEFT(E92,LEN(E92)-2)&amp;" vs. "&amp;LEFT(E110,LEN(E110)-2),IF(SUMIF(Singles!$H$3:$H$18,"="&amp;Singles!$H$21,Singles!$I$3:$I$18)=0,"Same winners;",""))</f>
        <v xml:space="preserve">Ghem, Machado, Junqueira, Laranja, PODLIPBIK-CASTILLO, Lindell, Michon, gonzalez, pereira, collinari, giner, galdon, lobkov, santos, santos, lojda vs. , , , , , , , , , , , , , , , </v>
      </c>
      <c r="V93" s="97">
        <f>VLOOKUP(2,X92:Y107,2,0)</f>
        <v>1</v>
      </c>
      <c r="X93" s="95">
        <f t="shared" si="58"/>
        <v>2</v>
      </c>
      <c r="Y93" s="95">
        <f t="shared" si="59"/>
        <v>1</v>
      </c>
      <c r="Z93" s="95">
        <f t="shared" si="60"/>
        <v>0</v>
      </c>
    </row>
    <row r="94" spans="1:26">
      <c r="A94" s="95">
        <v>3</v>
      </c>
      <c r="B94" s="95" t="str">
        <f>Singles!F97</f>
        <v>JUNQUEIRA 6/4 7/6</v>
      </c>
      <c r="C94" s="100" t="str">
        <f>IF(OR(LEFT(B94,LEN(B$4))=B$4,LEFT(B94,LEN(C$4))=C$4,LEN(B94)&lt;2),"","Wrong pick")</f>
        <v/>
      </c>
      <c r="D94" s="95">
        <f t="shared" ca="1" si="50"/>
        <v>1</v>
      </c>
      <c r="G94" s="95" t="str">
        <f>IF(B94=0,"",IF(LEFT(B94,LEN(B$4))=B$4,B$4,C$4))</f>
        <v>Junqueira</v>
      </c>
      <c r="H94" s="95" t="str">
        <f t="shared" si="51"/>
        <v>2-0</v>
      </c>
      <c r="I94" s="95" t="str">
        <f ca="1">IF(AND(J94=Singles!$H$21,INDIRECT(ADDRESS(A94+1,6,1))=0,NOT(INDIRECT(ADDRESS(A94+1,5,1))="")),IF(D94=0,IF(H94=H112,"",G94&amp;" "&amp;H94&amp;" v "&amp;H112&amp;", "),G94&amp;" "&amp;H94&amp;" vs. "&amp;G112&amp;" "&amp;H112&amp;", "),"")</f>
        <v xml:space="preserve">Junqueira 2-0 vs.  0-0, </v>
      </c>
      <c r="J94" s="97">
        <f>Singles!H$5</f>
        <v>1</v>
      </c>
      <c r="K94" s="95" t="str">
        <f t="shared" si="52"/>
        <v>PTS</v>
      </c>
      <c r="L94" s="95" t="str">
        <f t="shared" si="53"/>
        <v>6/4 7/6</v>
      </c>
      <c r="M94" s="95" t="str">
        <f t="shared" si="54"/>
        <v>6/4 7/6</v>
      </c>
      <c r="N94" s="95" t="str">
        <f t="shared" si="55"/>
        <v>6/4 7/6</v>
      </c>
      <c r="O94" s="95" t="str">
        <f t="shared" si="56"/>
        <v>64 76</v>
      </c>
      <c r="P94" s="95" t="str">
        <f t="shared" si="57"/>
        <v>6/4 7/6</v>
      </c>
      <c r="Q94" s="95">
        <f>IF(AND(G94=T$4,LEN(G94)&gt;1),1,0)</f>
        <v>0</v>
      </c>
      <c r="R94" s="97">
        <f>Singles!D$5</f>
        <v>3</v>
      </c>
      <c r="S94" s="95">
        <f>IF(AND(H94=H$4,LEN(H94)&gt;1,Q94=1),1,0)</f>
        <v>0</v>
      </c>
      <c r="T94" s="101">
        <f ca="1">SUMIF(J92:J107,$I$2,D92:D107)</f>
        <v>16</v>
      </c>
      <c r="V94" s="97">
        <f>VLOOKUP(3,X92:Y107,2,0)</f>
        <v>1</v>
      </c>
      <c r="X94" s="95">
        <f t="shared" si="58"/>
        <v>3</v>
      </c>
      <c r="Y94" s="95">
        <f t="shared" si="59"/>
        <v>1</v>
      </c>
      <c r="Z94" s="95">
        <f t="shared" si="60"/>
        <v>0</v>
      </c>
    </row>
    <row r="95" spans="1:26">
      <c r="A95" s="95">
        <v>4</v>
      </c>
      <c r="B95" s="95" t="str">
        <f>Singles!F98</f>
        <v>LARANJA 4/6 6/4 6/3</v>
      </c>
      <c r="C95" s="100" t="str">
        <f>IF(OR(LEFT(B95,LEN(B$5))=B$5,LEFT(B95,LEN(C$5))=C$5,LEN(B95)&lt;2),"","Wrong pick")</f>
        <v/>
      </c>
      <c r="D95" s="95">
        <f t="shared" ca="1" si="50"/>
        <v>1</v>
      </c>
      <c r="G95" s="95" t="str">
        <f>IF(B95=0,"",IF(LEFT(B95,LEN(B$5))=B$5,B$5,C$5))</f>
        <v>Laranja</v>
      </c>
      <c r="H95" s="95" t="str">
        <f t="shared" si="51"/>
        <v>2-1</v>
      </c>
      <c r="I95" s="95" t="str">
        <f ca="1">IF(AND(J95=Singles!$H$21,INDIRECT(ADDRESS(A95+1,6,1))=0,NOT(INDIRECT(ADDRESS(A95+1,5,1))="")),IF(D95=0,IF(H95=H113,"",G95&amp;" "&amp;H95&amp;" v "&amp;H113&amp;", "),G95&amp;" "&amp;H95&amp;" vs. "&amp;G113&amp;" "&amp;H113&amp;", "),"")</f>
        <v xml:space="preserve">Laranja 2-1 vs.  0-0, </v>
      </c>
      <c r="J95" s="97">
        <f>Singles!H$6</f>
        <v>1</v>
      </c>
      <c r="K95" s="95" t="str">
        <f t="shared" si="52"/>
        <v>PTS</v>
      </c>
      <c r="L95" s="95" t="str">
        <f t="shared" si="53"/>
        <v>4/6 6/4 6/3</v>
      </c>
      <c r="M95" s="95" t="str">
        <f t="shared" si="54"/>
        <v>4/6 6/4 6/3</v>
      </c>
      <c r="N95" s="95" t="str">
        <f t="shared" si="55"/>
        <v>4/6 6/4 6/3</v>
      </c>
      <c r="O95" s="95" t="str">
        <f t="shared" si="56"/>
        <v>46 64 63</v>
      </c>
      <c r="P95" s="95" t="str">
        <f t="shared" si="57"/>
        <v>4/6 6/4 6/3</v>
      </c>
      <c r="Q95" s="95">
        <f>IF(AND(G95=T$5,LEN(G95)&gt;1),1,0)</f>
        <v>0</v>
      </c>
      <c r="R95" s="97">
        <f>Singles!D$6</f>
        <v>4</v>
      </c>
      <c r="S95" s="95">
        <f>IF(AND(H95=H$5,LEN(H95)&gt;1,Q95=1),1,0)</f>
        <v>0</v>
      </c>
      <c r="T95" s="102" t="str">
        <f>IF(T97&lt;10,"0","")&amp;T97&amp;":"&amp;IF(T98&lt;10,"0","")&amp;T98&amp;" | [b]"&amp;IF(LEN(U95)&gt;0,U95,T91&amp;"[/b] vs. [b]"&amp;T109&amp;"[/b]"&amp;IF(Singles!$H$21&gt;1," (SR "&amp;U97&amp;":"&amp;U98&amp;")","")&amp;" - "&amp;IF(COUNTIF(C92:C125,"=Wrong Pick")&gt;0,"Incorrect pick, probably a spelling mistake",IF(AND(F92="",F110=""),T93&amp;IF(AND(OR(AND(Singles!$H$20&gt;1,Singles!$H$21&lt;Singles!$H$20),MOD(T94+T97+T98,2)=0),NOT(Singles!$H$23="No")),LEFT(T92,LEN(T92)-2),""),F92&amp;F110)))</f>
        <v xml:space="preserve">00:00 | [b](2) geangr (BRA)[/b] vs. [b]Ramsay (POR)[/b] - Missing picks from Ramsay </v>
      </c>
      <c r="U95" s="95" t="str">
        <f>IF(B91="Bye","Bye[/b] vs. [b][color=blue]"&amp;T109&amp;"[/color][/b]",IF(B109="Bye","[color=blue]"&amp;T91&amp;"[/color][/b] vs. [b]Bye[/b]",""))</f>
        <v/>
      </c>
      <c r="V95" s="97">
        <f>VLOOKUP(4,X92:Y107,2,0)</f>
        <v>2</v>
      </c>
      <c r="X95" s="95">
        <f t="shared" si="58"/>
        <v>4</v>
      </c>
      <c r="Y95" s="95">
        <f t="shared" si="59"/>
        <v>2</v>
      </c>
      <c r="Z95" s="95">
        <f t="shared" si="60"/>
        <v>0</v>
      </c>
    </row>
    <row r="96" spans="1:26">
      <c r="A96" s="95">
        <v>5</v>
      </c>
      <c r="B96" s="95" t="str">
        <f>Singles!F99</f>
        <v>PODLIPBIK-CASTILLO 6/1 6/3</v>
      </c>
      <c r="C96" s="100" t="str">
        <f>IF(OR(LEFT(B96,LEN(B$6))=B$6,LEFT(B96,LEN(C$6))=C$6,LEN(B96)&lt;2),"","Wrong pick")</f>
        <v/>
      </c>
      <c r="D96" s="95">
        <f t="shared" ca="1" si="50"/>
        <v>1</v>
      </c>
      <c r="G96" s="95" t="str">
        <f>IF(B96=0,"",IF(LEFT(B96,LEN(B$6))=B$6,B$6,C$6))</f>
        <v>PODLIPBIK-CASTILLO</v>
      </c>
      <c r="H96" s="95" t="str">
        <f t="shared" si="51"/>
        <v>2-0</v>
      </c>
      <c r="I96" s="95" t="str">
        <f ca="1">IF(AND(J96=Singles!$H$21,INDIRECT(ADDRESS(A96+1,6,1))=0,NOT(INDIRECT(ADDRESS(A96+1,5,1))="")),IF(D96=0,IF(H96=H114,"",G96&amp;" "&amp;H96&amp;" v "&amp;H114&amp;", "),G96&amp;" "&amp;H96&amp;" vs. "&amp;G114&amp;" "&amp;H114&amp;", "),"")</f>
        <v xml:space="preserve">PODLIPBIK-CASTILLO 2-0 vs.  0-0, </v>
      </c>
      <c r="J96" s="97">
        <f>Singles!H$7</f>
        <v>1</v>
      </c>
      <c r="K96" s="95" t="str">
        <f t="shared" si="52"/>
        <v>PTS</v>
      </c>
      <c r="L96" s="95" t="str">
        <f t="shared" si="53"/>
        <v>6/1 6/3</v>
      </c>
      <c r="M96" s="95" t="str">
        <f t="shared" si="54"/>
        <v>6/1 6/3</v>
      </c>
      <c r="N96" s="95" t="str">
        <f t="shared" si="55"/>
        <v>6/1 6/3</v>
      </c>
      <c r="O96" s="95" t="str">
        <f t="shared" si="56"/>
        <v>61 63</v>
      </c>
      <c r="P96" s="95" t="str">
        <f t="shared" si="57"/>
        <v>6/1 6/3</v>
      </c>
      <c r="Q96" s="95">
        <f>IF(AND(G96=T$6,LEN(G96)&gt;1),1,0)</f>
        <v>0</v>
      </c>
      <c r="R96" s="97">
        <f>Singles!D$7</f>
        <v>5</v>
      </c>
      <c r="S96" s="95">
        <f>IF(AND(H96=H$6,LEN(H96)&gt;1,Q96=1),1,0)</f>
        <v>0</v>
      </c>
      <c r="T96" s="103" t="str">
        <f>IF(Singles!$H$22=$F$18,IF(T97&gt;T98,B91,IF(T97&lt;T98,B109,IF(U97&gt;U98,B91,IF(U97&lt;U98,B109,T100)))),"No decision yet")</f>
        <v>No decision yet</v>
      </c>
      <c r="U96" s="104" t="str">
        <f>IF(T97&lt;10,"0","")&amp;T97&amp;":"&amp;IF(T98&lt;10,"0","")&amp;T98&amp;" | "&amp;IF(AND(A91&gt;0,A91&lt;33,B91=T96),"[b][color=Blue]"&amp;T91&amp;"[/color][/b]",IF(B91=T96,"[color=Blue]"&amp;T91&amp;"[/color]",IF(AND(A91&gt;0,A91&lt;33),"[b]"&amp;T91&amp;"[/b]",T91)))&amp;" vs. "&amp;IF(AND(A109&gt;0,A109&lt;33,B109=T96),"[b][color=Blue]"&amp;T109&amp;"[/color][/b]",IF(B109=T96,"[color=Blue]"&amp;T109&amp;"[/color]",IF(AND(A109&gt;0,A109&lt;33),"[b]"&amp;T109&amp;"[/b]",T109)))&amp;IF(OR(Singles!$B$40="yes",T97=T98)," #SRs: "&amp;U97&amp;"-"&amp;U98,"")&amp;IF(AND(T97=T98,U97=U98,U100&lt;17,Singles!$H$22=$F$18),", Shootout: SR"&amp;U100,"")</f>
        <v>00:00 | [b](2) geangr (BRA)[/b] vs. Ramsay (POR) #SRs: 0-0</v>
      </c>
      <c r="V96" s="97">
        <f>VLOOKUP(5,X92:Y107,2,0)</f>
        <v>1</v>
      </c>
      <c r="X96" s="95">
        <f t="shared" si="58"/>
        <v>5</v>
      </c>
      <c r="Y96" s="95">
        <f t="shared" si="59"/>
        <v>1</v>
      </c>
      <c r="Z96" s="95">
        <f t="shared" si="60"/>
        <v>0</v>
      </c>
    </row>
    <row r="97" spans="1:26">
      <c r="A97" s="95">
        <v>6</v>
      </c>
      <c r="B97" s="95" t="str">
        <f>Singles!F100</f>
        <v>LINDELL 6/4 7/6</v>
      </c>
      <c r="C97" s="100" t="str">
        <f>IF(OR(LEFT(B97,LEN(B$7))=B$7,LEFT(B97,LEN(C$7))=C$7,LEN(B97)&lt;2),"","Wrong pick")</f>
        <v/>
      </c>
      <c r="D97" s="95">
        <f t="shared" ca="1" si="50"/>
        <v>1</v>
      </c>
      <c r="G97" s="95" t="str">
        <f>IF(B97=0,"",IF(LEFT(B97,LEN(B$7))=B$7,B$7,C$7))</f>
        <v>Lindell</v>
      </c>
      <c r="H97" s="95" t="str">
        <f t="shared" si="51"/>
        <v>2-0</v>
      </c>
      <c r="I97" s="95" t="str">
        <f ca="1">IF(AND(J97=Singles!$H$21,INDIRECT(ADDRESS(A97+1,6,1))=0,NOT(INDIRECT(ADDRESS(A97+1,5,1))="")),IF(D97=0,IF(H97=H115,"",G97&amp;" "&amp;H97&amp;" v "&amp;H115&amp;", "),G97&amp;" "&amp;H97&amp;" vs. "&amp;G115&amp;" "&amp;H115&amp;", "),"")</f>
        <v xml:space="preserve">Lindell 2-0 vs.  0-0, </v>
      </c>
      <c r="J97" s="97">
        <f>Singles!H$8</f>
        <v>1</v>
      </c>
      <c r="K97" s="95" t="str">
        <f t="shared" si="52"/>
        <v>PTS</v>
      </c>
      <c r="L97" s="95" t="str">
        <f t="shared" si="53"/>
        <v>6/4 7/6</v>
      </c>
      <c r="M97" s="95" t="str">
        <f t="shared" si="54"/>
        <v>6/4 7/6</v>
      </c>
      <c r="N97" s="95" t="str">
        <f t="shared" si="55"/>
        <v>6/4 7/6</v>
      </c>
      <c r="O97" s="95" t="str">
        <f t="shared" si="56"/>
        <v>64 76</v>
      </c>
      <c r="P97" s="95" t="str">
        <f t="shared" si="57"/>
        <v>6/4 7/6</v>
      </c>
      <c r="Q97" s="95">
        <f>IF(AND(G97=T$7,LEN(G97)&gt;1),1,0)</f>
        <v>0</v>
      </c>
      <c r="R97" s="97">
        <f>Singles!D$8</f>
        <v>6</v>
      </c>
      <c r="S97" s="95">
        <f>IF(AND(H97=H$7,LEN(H97)&gt;1,Q97=1),1,0)</f>
        <v>0</v>
      </c>
      <c r="T97" s="105">
        <f>SUM(Q92:Q107)</f>
        <v>0</v>
      </c>
      <c r="U97" s="97">
        <f>SUM(S92:S107)</f>
        <v>0</v>
      </c>
      <c r="V97" s="97">
        <f>VLOOKUP(6,X92:Y107,2,0)</f>
        <v>1</v>
      </c>
      <c r="X97" s="95">
        <f t="shared" si="58"/>
        <v>6</v>
      </c>
      <c r="Y97" s="95">
        <f t="shared" si="59"/>
        <v>1</v>
      </c>
      <c r="Z97" s="95">
        <f t="shared" si="60"/>
        <v>0</v>
      </c>
    </row>
    <row r="98" spans="1:26">
      <c r="A98" s="95">
        <v>7</v>
      </c>
      <c r="B98" s="95" t="str">
        <f>Singles!F101</f>
        <v>MICHON 6/4 6/3</v>
      </c>
      <c r="C98" s="100" t="str">
        <f>IF(OR(LEFT(B98,LEN(B$8))=B$8,LEFT(B98,LEN(C$8))=C$8,LEN(B98)&lt;2),"","Wrong pick")</f>
        <v/>
      </c>
      <c r="D98" s="95">
        <f t="shared" ca="1" si="50"/>
        <v>1</v>
      </c>
      <c r="G98" s="95" t="str">
        <f>IF(B98=0,"",IF(LEFT(B98,LEN(B$8))=B$8,B$8,C$8))</f>
        <v>Michon</v>
      </c>
      <c r="H98" s="95" t="str">
        <f t="shared" si="51"/>
        <v>2-0</v>
      </c>
      <c r="I98" s="95" t="str">
        <f ca="1">IF(AND(J98=Singles!$H$21,INDIRECT(ADDRESS(A98+1,6,1))=0,NOT(INDIRECT(ADDRESS(A98+1,5,1))="")),IF(D98=0,IF(H98=H116,"",G98&amp;" "&amp;H98&amp;" v "&amp;H116&amp;", "),G98&amp;" "&amp;H98&amp;" vs. "&amp;G116&amp;" "&amp;H116&amp;", "),"")</f>
        <v xml:space="preserve">Michon 2-0 vs.  0-0, </v>
      </c>
      <c r="J98" s="97">
        <f>Singles!H$9</f>
        <v>1</v>
      </c>
      <c r="K98" s="95" t="str">
        <f t="shared" si="52"/>
        <v>PTS</v>
      </c>
      <c r="L98" s="95" t="str">
        <f t="shared" si="53"/>
        <v>6/4 6/3</v>
      </c>
      <c r="M98" s="95" t="str">
        <f t="shared" si="54"/>
        <v>6/4 6/3</v>
      </c>
      <c r="N98" s="95" t="str">
        <f t="shared" si="55"/>
        <v>6/4 6/3</v>
      </c>
      <c r="O98" s="95" t="str">
        <f t="shared" si="56"/>
        <v>64 63</v>
      </c>
      <c r="P98" s="95" t="str">
        <f t="shared" si="57"/>
        <v>6/4 6/3</v>
      </c>
      <c r="Q98" s="95">
        <f>IF(AND(G98=T$8,LEN(G98)&gt;1),1,0)</f>
        <v>0</v>
      </c>
      <c r="R98" s="97">
        <f>Singles!D$9</f>
        <v>7</v>
      </c>
      <c r="S98" s="95">
        <f>IF(AND(H98=H$8,LEN(H98)&gt;1,Q98=1),1,0)</f>
        <v>0</v>
      </c>
      <c r="T98" s="105">
        <f>SUM(Q110:Q125)</f>
        <v>0</v>
      </c>
      <c r="U98" s="97">
        <f>SUM(S110:S125)</f>
        <v>0</v>
      </c>
      <c r="V98" s="97">
        <f>VLOOKUP(7,X92:Y107,2,0)</f>
        <v>1</v>
      </c>
      <c r="X98" s="95">
        <f t="shared" si="58"/>
        <v>7</v>
      </c>
      <c r="Y98" s="95">
        <f t="shared" si="59"/>
        <v>1</v>
      </c>
      <c r="Z98" s="95">
        <f t="shared" si="60"/>
        <v>0</v>
      </c>
    </row>
    <row r="99" spans="1:26">
      <c r="A99" s="95">
        <v>8</v>
      </c>
      <c r="B99" s="95" t="str">
        <f>Singles!F102</f>
        <v>GONZALEZ 6/4 6/3</v>
      </c>
      <c r="C99" s="100" t="str">
        <f>IF(OR(LEFT(B99,LEN(B$9))=B$9,LEFT(B99,LEN(C$9))=C$9,LEN(B99)&lt;2),"","Wrong pick")</f>
        <v/>
      </c>
      <c r="D99" s="95">
        <f t="shared" ca="1" si="50"/>
        <v>1</v>
      </c>
      <c r="G99" s="95" t="str">
        <f>IF(B99=0,"",IF(LEFT(B99,LEN(B$9))=B$9,B$9,C$9))</f>
        <v>gonzalez</v>
      </c>
      <c r="H99" s="95" t="str">
        <f t="shared" si="51"/>
        <v>2-0</v>
      </c>
      <c r="I99" s="95" t="str">
        <f ca="1">IF(AND(J99=Singles!$H$21,INDIRECT(ADDRESS(A99+1,6,1))=0,NOT(INDIRECT(ADDRESS(A99+1,5,1))="")),IF(D99=0,IF(H99=H117,"",G99&amp;" "&amp;H99&amp;" v "&amp;H117&amp;", "),G99&amp;" "&amp;H99&amp;" vs. "&amp;G117&amp;" "&amp;H117&amp;", "),"")</f>
        <v xml:space="preserve">gonzalez 2-0 vs.  0-0, </v>
      </c>
      <c r="J99" s="97">
        <f>Singles!H$10</f>
        <v>1</v>
      </c>
      <c r="K99" s="95" t="str">
        <f t="shared" si="52"/>
        <v>PTS</v>
      </c>
      <c r="L99" s="95" t="str">
        <f t="shared" si="53"/>
        <v>6/4 6/3</v>
      </c>
      <c r="M99" s="95" t="str">
        <f t="shared" si="54"/>
        <v>6/4 6/3</v>
      </c>
      <c r="N99" s="95" t="str">
        <f t="shared" si="55"/>
        <v>6/4 6/3</v>
      </c>
      <c r="O99" s="95" t="str">
        <f t="shared" si="56"/>
        <v>64 63</v>
      </c>
      <c r="P99" s="95" t="str">
        <f t="shared" si="57"/>
        <v>6/4 6/3</v>
      </c>
      <c r="Q99" s="95">
        <f>IF(AND(G99=T$9,LEN(G99)&gt;1),1,0)</f>
        <v>0</v>
      </c>
      <c r="R99" s="97">
        <f>Singles!D$10</f>
        <v>8</v>
      </c>
      <c r="S99" s="95">
        <f>IF(AND(H99=H$9,LEN(H99)&gt;1,Q99=1),1,0)</f>
        <v>0</v>
      </c>
      <c r="V99" s="97">
        <f>VLOOKUP(8,X92:Y107,2,0)</f>
        <v>1</v>
      </c>
      <c r="X99" s="95">
        <f t="shared" si="58"/>
        <v>8</v>
      </c>
      <c r="Y99" s="95">
        <f t="shared" si="59"/>
        <v>1</v>
      </c>
      <c r="Z99" s="95">
        <f t="shared" si="60"/>
        <v>0</v>
      </c>
    </row>
    <row r="100" spans="1:26">
      <c r="A100" s="95">
        <v>9</v>
      </c>
      <c r="B100" s="95" t="str">
        <f>Singles!F103</f>
        <v>PEREIRA 6/4 6/2</v>
      </c>
      <c r="C100" s="100" t="str">
        <f>IF(OR(LEFT(B100,LEN(B$10))=B$10,LEFT(B100,LEN(C$10))=C$10,LEN(B100)&lt;2),"","Wrong pick")</f>
        <v/>
      </c>
      <c r="D100" s="95">
        <f t="shared" ca="1" si="50"/>
        <v>1</v>
      </c>
      <c r="G100" s="95" t="str">
        <f>IF(B100=0,"",IF(LEFT(B100,LEN(B$10))=B$10,B$10,C$10))</f>
        <v>pereira</v>
      </c>
      <c r="H100" s="95" t="str">
        <f t="shared" si="51"/>
        <v>2-0</v>
      </c>
      <c r="I100" s="95" t="str">
        <f ca="1">IF(AND(J100=Singles!$H$21,INDIRECT(ADDRESS(A100+1,6,1))=0,NOT(INDIRECT(ADDRESS(A100+1,5,1))="")),IF(D100=0,IF(H100=H118,"",G100&amp;" "&amp;H100&amp;" v "&amp;H118&amp;", "),G100&amp;" "&amp;H100&amp;" vs. "&amp;G118&amp;" "&amp;H118&amp;", "),"")</f>
        <v xml:space="preserve">pereira 2-0 vs.  0-0, </v>
      </c>
      <c r="J100" s="97">
        <f>Singles!H$11</f>
        <v>1</v>
      </c>
      <c r="K100" s="95" t="str">
        <f t="shared" si="52"/>
        <v>PTS</v>
      </c>
      <c r="L100" s="95" t="str">
        <f t="shared" si="53"/>
        <v>6/4 6/2</v>
      </c>
      <c r="M100" s="95" t="str">
        <f t="shared" si="54"/>
        <v>6/4 6/2</v>
      </c>
      <c r="N100" s="95" t="str">
        <f t="shared" si="55"/>
        <v>6/4 6/2</v>
      </c>
      <c r="O100" s="95" t="str">
        <f t="shared" si="56"/>
        <v>64 62</v>
      </c>
      <c r="P100" s="95" t="str">
        <f t="shared" si="57"/>
        <v>6/4 6/2</v>
      </c>
      <c r="Q100" s="95">
        <f>IF(AND(G100=T$10,LEN(G100)&gt;1),1,0)</f>
        <v>0</v>
      </c>
      <c r="R100" s="97">
        <f>Singles!D$11</f>
        <v>9</v>
      </c>
      <c r="S100" s="95">
        <f>IF(AND(H100=H$10,LEN(H100)&gt;1,Q100=1),1,0)</f>
        <v>0</v>
      </c>
      <c r="T100" s="95" t="str">
        <f>VLOOKUP("Winner",T110:U126,2,0)</f>
        <v>geangr</v>
      </c>
      <c r="U100" s="95">
        <f>VLOOKUP(T100,U110:W126,3,0)</f>
        <v>4</v>
      </c>
      <c r="V100" s="97">
        <f>VLOOKUP(9,X92:Y107,2,0)</f>
        <v>1</v>
      </c>
      <c r="X100" s="95">
        <f t="shared" si="58"/>
        <v>9</v>
      </c>
      <c r="Y100" s="95">
        <f t="shared" si="59"/>
        <v>1</v>
      </c>
      <c r="Z100" s="95">
        <f t="shared" si="60"/>
        <v>0</v>
      </c>
    </row>
    <row r="101" spans="1:26">
      <c r="A101" s="95">
        <v>10</v>
      </c>
      <c r="B101" s="95" t="str">
        <f>Singles!F104</f>
        <v>COLLINARI 6/4 6/3</v>
      </c>
      <c r="C101" s="100" t="str">
        <f>IF(OR(LEFT(B101,LEN(B$11))=B$11,LEFT(B101,LEN(C$11))=C$11,LEN(B101)&lt;2),"","Wrong pick")</f>
        <v/>
      </c>
      <c r="D101" s="95">
        <f t="shared" ca="1" si="50"/>
        <v>1</v>
      </c>
      <c r="G101" s="95" t="str">
        <f>IF(B101=0,"",IF(LEFT(B101,LEN(B$11))=B$11,B$11,C$11))</f>
        <v>collinari</v>
      </c>
      <c r="H101" s="95" t="str">
        <f t="shared" si="51"/>
        <v>2-0</v>
      </c>
      <c r="I101" s="95" t="str">
        <f ca="1">IF(AND(J101=Singles!$H$21,INDIRECT(ADDRESS(A101+1,6,1))=0,NOT(INDIRECT(ADDRESS(A101+1,5,1))="")),IF(D101=0,IF(H101=H119,"",G101&amp;" "&amp;H101&amp;" v "&amp;H119&amp;", "),G101&amp;" "&amp;H101&amp;" vs. "&amp;G119&amp;" "&amp;H119&amp;", "),"")</f>
        <v xml:space="preserve">collinari 2-0 vs.  0-0, </v>
      </c>
      <c r="J101" s="97">
        <f>Singles!H$12</f>
        <v>1</v>
      </c>
      <c r="K101" s="95" t="str">
        <f t="shared" si="52"/>
        <v>PTS</v>
      </c>
      <c r="L101" s="95" t="str">
        <f t="shared" si="53"/>
        <v>6/4 6/3</v>
      </c>
      <c r="M101" s="95" t="str">
        <f t="shared" si="54"/>
        <v>6/4 6/3</v>
      </c>
      <c r="N101" s="95" t="str">
        <f t="shared" si="55"/>
        <v>6/4 6/3</v>
      </c>
      <c r="O101" s="95" t="str">
        <f t="shared" si="56"/>
        <v>64 63</v>
      </c>
      <c r="P101" s="95" t="str">
        <f t="shared" si="57"/>
        <v>6/4 6/3</v>
      </c>
      <c r="Q101" s="95">
        <f>IF(AND(G101=T$11,LEN(G101)&gt;1),1,0)</f>
        <v>0</v>
      </c>
      <c r="R101" s="97">
        <f>Singles!D$12</f>
        <v>10</v>
      </c>
      <c r="S101" s="95">
        <f>IF(AND(H101=H$11,LEN(H101)&gt;1,Q101=1),1,0)</f>
        <v>0</v>
      </c>
      <c r="V101" s="97">
        <f>VLOOKUP(10,X92:Y107,2,0)</f>
        <v>1</v>
      </c>
      <c r="X101" s="95">
        <f t="shared" si="58"/>
        <v>10</v>
      </c>
      <c r="Y101" s="95">
        <f t="shared" si="59"/>
        <v>1</v>
      </c>
      <c r="Z101" s="95">
        <f t="shared" si="60"/>
        <v>0</v>
      </c>
    </row>
    <row r="102" spans="1:26">
      <c r="A102" s="95">
        <v>11</v>
      </c>
      <c r="B102" s="95" t="str">
        <f>Singles!F105</f>
        <v>GINER 6/4 6/2</v>
      </c>
      <c r="C102" s="100" t="str">
        <f>IF(OR(LEFT(B102,LEN(B$12))=B$12,LEFT(B102,LEN(C$12))=C$12,LEN(B102)&lt;2),"","Wrong pick")</f>
        <v/>
      </c>
      <c r="D102" s="95">
        <f t="shared" ca="1" si="50"/>
        <v>1</v>
      </c>
      <c r="G102" s="95" t="str">
        <f>IF(B102=0,"",IF(LEFT(B102,LEN(B$12))=B$12,B$12,C$12))</f>
        <v>giner</v>
      </c>
      <c r="H102" s="95" t="str">
        <f t="shared" si="51"/>
        <v>2-0</v>
      </c>
      <c r="I102" s="95" t="str">
        <f ca="1">IF(AND(J102=Singles!$H$21,INDIRECT(ADDRESS(A102+1,6,1))=0,NOT(INDIRECT(ADDRESS(A102+1,5,1))="")),IF(D102=0,IF(H102=H120,"",G102&amp;" "&amp;H102&amp;" v "&amp;H120&amp;", "),G102&amp;" "&amp;H102&amp;" vs. "&amp;G120&amp;" "&amp;H120&amp;", "),"")</f>
        <v xml:space="preserve">giner 2-0 vs.  0-0, </v>
      </c>
      <c r="J102" s="97">
        <f>Singles!H$13</f>
        <v>1</v>
      </c>
      <c r="K102" s="95" t="str">
        <f t="shared" si="52"/>
        <v>PTS</v>
      </c>
      <c r="L102" s="95" t="str">
        <f t="shared" si="53"/>
        <v>6/4 6/2</v>
      </c>
      <c r="M102" s="95" t="str">
        <f t="shared" si="54"/>
        <v>6/4 6/2</v>
      </c>
      <c r="N102" s="95" t="str">
        <f t="shared" si="55"/>
        <v>6/4 6/2</v>
      </c>
      <c r="O102" s="95" t="str">
        <f t="shared" si="56"/>
        <v>64 62</v>
      </c>
      <c r="P102" s="95" t="str">
        <f t="shared" si="57"/>
        <v>6/4 6/2</v>
      </c>
      <c r="Q102" s="95">
        <f>IF(AND(G102=T$12,LEN(G102)&gt;1),1,0)</f>
        <v>0</v>
      </c>
      <c r="R102" s="97">
        <f>Singles!D$13</f>
        <v>11</v>
      </c>
      <c r="S102" s="95">
        <f>IF(AND(H102=H$12,LEN(H102)&gt;1,Q102=1),1,0)</f>
        <v>0</v>
      </c>
      <c r="V102" s="97">
        <f>VLOOKUP(11,X92:Y107,2,0)</f>
        <v>1</v>
      </c>
      <c r="X102" s="95">
        <f t="shared" si="58"/>
        <v>11</v>
      </c>
      <c r="Y102" s="95">
        <f t="shared" si="59"/>
        <v>1</v>
      </c>
      <c r="Z102" s="95">
        <f t="shared" si="60"/>
        <v>0</v>
      </c>
    </row>
    <row r="103" spans="1:26">
      <c r="A103" s="95">
        <v>12</v>
      </c>
      <c r="B103" s="95" t="str">
        <f>Singles!F106</f>
        <v>GALDON 6/4 6/7 6/4</v>
      </c>
      <c r="C103" s="100" t="str">
        <f>IF(OR(LEFT(B103,LEN(B$13))=B$13,LEFT(B103,LEN(C$13))=C$13,LEN(B103)&lt;2),"","Wrong pick")</f>
        <v/>
      </c>
      <c r="D103" s="95">
        <f t="shared" ca="1" si="50"/>
        <v>1</v>
      </c>
      <c r="G103" s="95" t="str">
        <f>IF(B103=0,"",IF(LEFT(B103,LEN(B$13))=B$13,B$13,C$13))</f>
        <v>galdon</v>
      </c>
      <c r="H103" s="95" t="str">
        <f t="shared" si="51"/>
        <v>2-1</v>
      </c>
      <c r="I103" s="95" t="str">
        <f ca="1">IF(AND(J103=Singles!$H$21,INDIRECT(ADDRESS(A103+1,6,1))=0,NOT(INDIRECT(ADDRESS(A103+1,5,1))="")),IF(D103=0,IF(H103=H121,"",G103&amp;" "&amp;H103&amp;" v "&amp;H121&amp;", "),G103&amp;" "&amp;H103&amp;" vs. "&amp;G121&amp;" "&amp;H121&amp;", "),"")</f>
        <v xml:space="preserve">galdon 2-1 vs.  0-0, </v>
      </c>
      <c r="J103" s="97">
        <f>Singles!H$14</f>
        <v>1</v>
      </c>
      <c r="K103" s="95" t="str">
        <f t="shared" si="52"/>
        <v>PTS</v>
      </c>
      <c r="L103" s="95" t="str">
        <f t="shared" si="53"/>
        <v>6/4 6/7 6/4</v>
      </c>
      <c r="M103" s="95" t="str">
        <f t="shared" si="54"/>
        <v>6/4 6/7 6/4</v>
      </c>
      <c r="N103" s="95" t="str">
        <f t="shared" si="55"/>
        <v>6/4 6/7 6/4</v>
      </c>
      <c r="O103" s="95" t="str">
        <f t="shared" si="56"/>
        <v>64 67 64</v>
      </c>
      <c r="P103" s="95" t="str">
        <f t="shared" si="57"/>
        <v>6/4 6/7 6/4</v>
      </c>
      <c r="Q103" s="95">
        <f>IF(AND(G103=T$13,LEN(G103)&gt;1),1,0)</f>
        <v>0</v>
      </c>
      <c r="R103" s="97">
        <f>Singles!D$14</f>
        <v>12</v>
      </c>
      <c r="S103" s="95">
        <f>IF(AND(H103=H$13,LEN(H103)&gt;1,Q103=1),1,0)</f>
        <v>0</v>
      </c>
      <c r="V103" s="97">
        <f>VLOOKUP(12,X92:Y107,2,0)</f>
        <v>2</v>
      </c>
      <c r="X103" s="95">
        <f t="shared" si="58"/>
        <v>12</v>
      </c>
      <c r="Y103" s="95">
        <f t="shared" si="59"/>
        <v>2</v>
      </c>
      <c r="Z103" s="95">
        <f t="shared" si="60"/>
        <v>0</v>
      </c>
    </row>
    <row r="104" spans="1:26">
      <c r="A104" s="95">
        <v>13</v>
      </c>
      <c r="B104" s="95" t="str">
        <f>Singles!F107</f>
        <v>LOBKOV 6/4 7/6</v>
      </c>
      <c r="C104" s="100" t="str">
        <f>IF(OR(LEFT(B104,LEN(B$14))=B$14,LEFT(B104,LEN(C$14))=C$14,LEN(B104)&lt;2),"","Wrong pick")</f>
        <v/>
      </c>
      <c r="D104" s="95">
        <f t="shared" ca="1" si="50"/>
        <v>1</v>
      </c>
      <c r="G104" s="95" t="str">
        <f>IF(B104=0,"",IF(LEFT(B104,LEN(B$14))=B$14,B$14,C$14))</f>
        <v>lobkov</v>
      </c>
      <c r="H104" s="95" t="str">
        <f t="shared" si="51"/>
        <v>2-0</v>
      </c>
      <c r="I104" s="95" t="str">
        <f ca="1">IF(AND(J104=Singles!$H$21,INDIRECT(ADDRESS(A104+1,6,1))=0,NOT(INDIRECT(ADDRESS(A104+1,5,1))="")),IF(D104=0,IF(H104=H122,"",G104&amp;" "&amp;H104&amp;" v "&amp;H122&amp;", "),G104&amp;" "&amp;H104&amp;" vs. "&amp;G122&amp;" "&amp;H122&amp;", "),"")</f>
        <v xml:space="preserve">lobkov 2-0 vs.  0-0, </v>
      </c>
      <c r="J104" s="97">
        <f>Singles!H$15</f>
        <v>1</v>
      </c>
      <c r="K104" s="95" t="str">
        <f t="shared" si="52"/>
        <v>PTS</v>
      </c>
      <c r="L104" s="95" t="str">
        <f t="shared" si="53"/>
        <v>6/4 7/6</v>
      </c>
      <c r="M104" s="95" t="str">
        <f t="shared" si="54"/>
        <v>6/4 7/6</v>
      </c>
      <c r="N104" s="95" t="str">
        <f t="shared" si="55"/>
        <v>6/4 7/6</v>
      </c>
      <c r="O104" s="95" t="str">
        <f t="shared" si="56"/>
        <v>64 76</v>
      </c>
      <c r="P104" s="95" t="str">
        <f t="shared" si="57"/>
        <v>6/4 7/6</v>
      </c>
      <c r="Q104" s="95">
        <f>IF(AND(G104=T$14,LEN(G104)&gt;1),1,0)</f>
        <v>0</v>
      </c>
      <c r="R104" s="97">
        <f>Singles!D$15</f>
        <v>13</v>
      </c>
      <c r="S104" s="95">
        <f>IF(AND(H104=H$14,LEN(H104)&gt;1,Q104=1),1,0)</f>
        <v>0</v>
      </c>
      <c r="V104" s="97">
        <f>VLOOKUP(13,X92:Y107,2,0)</f>
        <v>1</v>
      </c>
      <c r="X104" s="95">
        <f t="shared" si="58"/>
        <v>13</v>
      </c>
      <c r="Y104" s="95">
        <f t="shared" si="59"/>
        <v>1</v>
      </c>
      <c r="Z104" s="95">
        <f t="shared" si="60"/>
        <v>0</v>
      </c>
    </row>
    <row r="105" spans="1:26">
      <c r="A105" s="95">
        <v>14</v>
      </c>
      <c r="B105" s="95" t="str">
        <f>Singles!F108</f>
        <v>SANTOS 6/4 6/0</v>
      </c>
      <c r="C105" s="100" t="str">
        <f>IF(OR(LEFT(B105,LEN(B$15))=B$15,LEFT(B105,LEN(C$15))=C$15,LEN(B105)&lt;2),"","Wrong pick")</f>
        <v/>
      </c>
      <c r="D105" s="95">
        <f t="shared" ca="1" si="50"/>
        <v>1</v>
      </c>
      <c r="G105" s="95" t="str">
        <f>IF(B105=0,"",IF(LEFT(B105,LEN(B$15))=B$15,B$15,C$15))</f>
        <v>santos</v>
      </c>
      <c r="H105" s="95" t="str">
        <f t="shared" si="51"/>
        <v>2-0</v>
      </c>
      <c r="I105" s="95" t="str">
        <f ca="1">IF(AND(J105=Singles!$H$21,INDIRECT(ADDRESS(A105+1,6,1))=0,NOT(INDIRECT(ADDRESS(A105+1,5,1))="")),IF(D105=0,IF(H105=H123,"",G105&amp;" "&amp;H105&amp;" v "&amp;H123&amp;", "),G105&amp;" "&amp;H105&amp;" vs. "&amp;G123&amp;" "&amp;H123&amp;", "),"")</f>
        <v xml:space="preserve">santos 2-0 vs.  0-0, </v>
      </c>
      <c r="J105" s="97">
        <f>Singles!H$16</f>
        <v>1</v>
      </c>
      <c r="K105" s="95" t="str">
        <f t="shared" si="52"/>
        <v>PTS</v>
      </c>
      <c r="L105" s="95" t="str">
        <f t="shared" si="53"/>
        <v>6/4 6/0</v>
      </c>
      <c r="M105" s="95" t="str">
        <f t="shared" si="54"/>
        <v>6/4 6/0</v>
      </c>
      <c r="N105" s="95" t="str">
        <f t="shared" si="55"/>
        <v>6/4 6/0</v>
      </c>
      <c r="O105" s="95" t="str">
        <f t="shared" si="56"/>
        <v>64 60</v>
      </c>
      <c r="P105" s="95" t="str">
        <f t="shared" si="57"/>
        <v>6/4 6/0</v>
      </c>
      <c r="Q105" s="95">
        <f>IF(AND(G105=T$15,LEN(G105)&gt;1),1,0)</f>
        <v>0</v>
      </c>
      <c r="R105" s="97">
        <f>Singles!D$16</f>
        <v>14</v>
      </c>
      <c r="S105" s="95">
        <f>IF(AND(H105=H$15,LEN(H105)&gt;1,Q105=1),1,0)</f>
        <v>0</v>
      </c>
      <c r="V105" s="97">
        <f>VLOOKUP(14,X92:Y107,2,0)</f>
        <v>1</v>
      </c>
      <c r="X105" s="95">
        <f t="shared" si="58"/>
        <v>14</v>
      </c>
      <c r="Y105" s="95">
        <f t="shared" si="59"/>
        <v>1</v>
      </c>
      <c r="Z105" s="95">
        <f t="shared" si="60"/>
        <v>0</v>
      </c>
    </row>
    <row r="106" spans="1:26">
      <c r="A106" s="95">
        <v>15</v>
      </c>
      <c r="B106" s="95" t="str">
        <f>Singles!F109</f>
        <v>SANTOS 6/4 7/6</v>
      </c>
      <c r="C106" s="100" t="str">
        <f>IF(OR(LEFT(B106,LEN(B$16))=B$16,LEFT(B106,LEN(C$16))=C$16,LEN(B106)&lt;2),"","Wrong pick")</f>
        <v/>
      </c>
      <c r="D106" s="95">
        <f t="shared" ca="1" si="50"/>
        <v>1</v>
      </c>
      <c r="G106" s="95" t="str">
        <f>IF(B106=0,"",IF(LEFT(B106,LEN(B$16))=B$16,B$16,C$16))</f>
        <v>santos</v>
      </c>
      <c r="H106" s="95" t="str">
        <f t="shared" si="51"/>
        <v>2-0</v>
      </c>
      <c r="I106" s="95" t="str">
        <f ca="1">IF(AND(J106=Singles!$H$21,INDIRECT(ADDRESS(A106+1,6,1))=0,NOT(INDIRECT(ADDRESS(A106+1,5,1))="")),IF(D106=0,IF(H106=H124,"",G106&amp;" "&amp;H106&amp;" v "&amp;H124&amp;", "),G106&amp;" "&amp;H106&amp;" vs. "&amp;G124&amp;" "&amp;H124&amp;", "),"")</f>
        <v xml:space="preserve">santos 2-0 vs.  0-0, </v>
      </c>
      <c r="J106" s="97">
        <f>Singles!H$17</f>
        <v>1</v>
      </c>
      <c r="K106" s="95" t="str">
        <f t="shared" si="52"/>
        <v>PTS</v>
      </c>
      <c r="L106" s="95" t="str">
        <f t="shared" si="53"/>
        <v>6/4 7/6</v>
      </c>
      <c r="M106" s="95" t="str">
        <f t="shared" si="54"/>
        <v>6/4 7/6</v>
      </c>
      <c r="N106" s="95" t="str">
        <f t="shared" si="55"/>
        <v>6/4 7/6</v>
      </c>
      <c r="O106" s="95" t="str">
        <f t="shared" si="56"/>
        <v>64 76</v>
      </c>
      <c r="P106" s="95" t="str">
        <f t="shared" si="57"/>
        <v>6/4 7/6</v>
      </c>
      <c r="Q106" s="95">
        <f>IF(AND(G106=T$16,LEN(G106)&gt;1),1,0)</f>
        <v>0</v>
      </c>
      <c r="R106" s="97">
        <f>Singles!D$17</f>
        <v>15</v>
      </c>
      <c r="S106" s="95">
        <f>IF(AND(H106=H$16,LEN(H106)&gt;1,Q106=1),1,0)</f>
        <v>0</v>
      </c>
      <c r="V106" s="97">
        <f>VLOOKUP(15,X92:Y107,2,0)</f>
        <v>1</v>
      </c>
      <c r="X106" s="95">
        <f t="shared" si="58"/>
        <v>15</v>
      </c>
      <c r="Y106" s="95">
        <f t="shared" si="59"/>
        <v>1</v>
      </c>
      <c r="Z106" s="95">
        <f t="shared" si="60"/>
        <v>0</v>
      </c>
    </row>
    <row r="107" spans="1:26">
      <c r="A107" s="95">
        <v>16</v>
      </c>
      <c r="B107" s="95" t="str">
        <f>Singles!F110</f>
        <v>LOJDA 6/4 6/1</v>
      </c>
      <c r="C107" s="100" t="str">
        <f>IF(OR(LEFT(B107,LEN(B$17))=B$17,LEFT(B107,LEN(C$17))=C$17,LEN(B107)&lt;2),"","Wrong pick")</f>
        <v/>
      </c>
      <c r="D107" s="95">
        <f t="shared" ca="1" si="50"/>
        <v>1</v>
      </c>
      <c r="G107" s="95" t="str">
        <f>IF(B107=0,"",IF(LEFT(B107,LEN(B$17))=B$17,B$17,C$17))</f>
        <v>lojda</v>
      </c>
      <c r="H107" s="95" t="str">
        <f t="shared" si="51"/>
        <v>2-0</v>
      </c>
      <c r="I107" s="95" t="str">
        <f ca="1">IF(AND(J107=Singles!$H$21,INDIRECT(ADDRESS(A107+1,6,1))=0,NOT(INDIRECT(ADDRESS(A107+1,5,1))="")),IF(D107=0,IF(H107=H125,"",G107&amp;" "&amp;H107&amp;" v "&amp;H125&amp;", "),G107&amp;" "&amp;H107&amp;" vs. "&amp;G125&amp;" "&amp;H125&amp;", "),"")</f>
        <v xml:space="preserve">lojda 2-0 vs.  0-0, </v>
      </c>
      <c r="J107" s="97">
        <f>Singles!H$18</f>
        <v>1</v>
      </c>
      <c r="K107" s="95" t="str">
        <f t="shared" si="52"/>
        <v>PTS</v>
      </c>
      <c r="L107" s="95" t="str">
        <f t="shared" si="53"/>
        <v>6/4 6/1</v>
      </c>
      <c r="M107" s="95" t="str">
        <f t="shared" si="54"/>
        <v>6/4 6/1</v>
      </c>
      <c r="N107" s="95" t="str">
        <f t="shared" si="55"/>
        <v>6/4 6/1</v>
      </c>
      <c r="O107" s="95" t="str">
        <f t="shared" si="56"/>
        <v>64 61</v>
      </c>
      <c r="P107" s="95" t="str">
        <f t="shared" si="57"/>
        <v>6/4 6/1</v>
      </c>
      <c r="Q107" s="95">
        <f>IF(AND(G107=T$17,LEN(G107)&gt;1),1,0)</f>
        <v>0</v>
      </c>
      <c r="R107" s="97">
        <f>Singles!D$18</f>
        <v>16</v>
      </c>
      <c r="S107" s="95">
        <f>IF(AND(H107=H$17,LEN(H107)&gt;1,Q107=1),1,0)</f>
        <v>0</v>
      </c>
      <c r="V107" s="97">
        <f>VLOOKUP(16,X92:Y107,2,0)</f>
        <v>1</v>
      </c>
      <c r="X107" s="95">
        <f t="shared" si="58"/>
        <v>16</v>
      </c>
      <c r="Y107" s="95">
        <f t="shared" si="59"/>
        <v>1</v>
      </c>
      <c r="Z107" s="95">
        <f t="shared" si="60"/>
        <v>0</v>
      </c>
    </row>
    <row r="109" spans="1:26">
      <c r="A109" s="95" t="str">
        <f>IF(LEN(VLOOKUP(B109,Singles!$A$2:$B$33,2,0))&gt;0,VLOOKUP(B109,Singles!$A$2:$B$33,2,0),"")</f>
        <v/>
      </c>
      <c r="B109" s="96" t="str">
        <f>Singles!A7</f>
        <v>Ramsay</v>
      </c>
      <c r="C109" s="96">
        <v>6</v>
      </c>
      <c r="D109" s="95" t="str">
        <f>VLOOKUP(B109,Singles!$A$2:$C$33,3,0)</f>
        <v>POR</v>
      </c>
      <c r="J109" s="95" t="s">
        <v>88</v>
      </c>
      <c r="Q109" s="95" t="s">
        <v>121</v>
      </c>
      <c r="S109" s="95" t="s">
        <v>122</v>
      </c>
      <c r="T109" s="95" t="str">
        <f>IF(LEN(A109)&gt;0,"("&amp;A109&amp;") "&amp;B109,B109)&amp;IF(LEN(D109)&gt;1," ("&amp;D109&amp;")","")</f>
        <v>Ramsay (POR)</v>
      </c>
      <c r="V109" s="95" t="s">
        <v>123</v>
      </c>
      <c r="Y109" s="95" t="s">
        <v>123</v>
      </c>
    </row>
    <row r="110" spans="1:26">
      <c r="A110" s="95">
        <v>1</v>
      </c>
      <c r="B110" s="95">
        <f>Singles!G95</f>
        <v>0</v>
      </c>
      <c r="C110" s="99" t="str">
        <f>IF(OR(LEFT(B110,LEN(B$2))=B$2,LEFT(B110,LEN(C$2))=C$2,LEN(B110)&lt;2),"","Wrong pick")</f>
        <v/>
      </c>
      <c r="E110" s="95" t="str">
        <f ca="1">IF(AND(D92=1,J110=$I$2),G110&amp;", ","")&amp;IF(AND(D93=1,J111=$I$2),G111&amp;", ","")&amp;IF(AND(D94=1,J112=$I$2),G112&amp;", ","")&amp;IF(AND(D95=1,J113=$I$2),G113&amp;", ","")&amp;IF(AND(D96=1,J114=$I$2),G114&amp;", ","")&amp;IF(AND(D97=1,J115=$I$2),G115&amp;", ","")&amp;IF(AND(D98=1,J116=$I$2),G116&amp;", ","")&amp;IF(AND(D99=1,J117=$I$2),G117&amp;", ","")&amp;IF(AND(D100=1,J118=$I$2),G118&amp;", ","")&amp;IF(AND(D101=1,J119=$I$2),G119&amp;", ","")&amp;IF(AND(D102=1,J120=$I$2),G120&amp;", ","")&amp;IF(AND(D103=1,J121=$I$2),G121&amp;", ","")&amp;IF(AND(D104=1,J122=$I$2),G122&amp;", ","")&amp;IF(AND(D105=1,J123=$I$2),G123&amp;", ","")&amp;IF(AND(D106=1,J124=$I$2),G124&amp;", ","")&amp;IF(AND(D107=1,J125=$I$2),G125&amp;", ","")</f>
        <v xml:space="preserve">, , , , , , , , , , , , , , , , </v>
      </c>
      <c r="F110" s="95" t="str">
        <f>IF(AND(SUM(Z110:Z125)=$I$4,NOT(B109="Bye")),"Missing picks from "&amp;B109&amp;" ","")</f>
        <v xml:space="preserve">Missing picks from Ramsay </v>
      </c>
      <c r="G110" s="95" t="str">
        <f>IF(B110=0,"",IF(LEFT(B110,LEN(B$2))=B$2,B$2,C$2))</f>
        <v/>
      </c>
      <c r="H110" s="95" t="str">
        <f t="shared" ref="H110:H125" si="61">IF(L110="","",IF(K110="PTS",IF(LEN(O110)&lt;8,"2-0","2-1"),LEFT(O110,1)&amp;"-"&amp;RIGHT(O110,1)))</f>
        <v>0-0</v>
      </c>
      <c r="J110" s="97">
        <f>Singles!H$3</f>
        <v>1</v>
      </c>
      <c r="K110" s="95" t="str">
        <f t="shared" ref="K110:K125" si="62">IF(LEN(L110)&gt;0,IF(LEN(O110)&lt;4,"SR","PTS"),"")</f>
        <v>SR</v>
      </c>
      <c r="L110" s="95" t="str">
        <f t="shared" ref="L110:L125" si="63">TRIM(RIGHT(B110,LEN(B110)-LEN(G110)))</f>
        <v>0</v>
      </c>
      <c r="M110" s="95" t="str">
        <f t="shared" ref="M110:M125" si="64">SUBSTITUTE(L110,"-","")</f>
        <v>0</v>
      </c>
      <c r="N110" s="95" t="str">
        <f t="shared" ref="N110:N125" si="65">SUBSTITUTE(M110,","," ")</f>
        <v>0</v>
      </c>
      <c r="O110" s="95" t="str">
        <f t="shared" ref="O110:O125" si="66">IF(AND(LEN(TRIM(SUBSTITUTE(P110,"/","")))&gt;6,OR(LEFT(TRIM(SUBSTITUTE(P110,"/","")),2)="20",LEFT(TRIM(SUBSTITUTE(P110,"/","")),2)="21")),RIGHT(TRIM(SUBSTITUTE(P110,"/","")),LEN(TRIM(SUBSTITUTE(P110,"/","")))-3),TRIM(SUBSTITUTE(P110,"/","")))</f>
        <v>0</v>
      </c>
      <c r="P110" s="95" t="str">
        <f t="shared" ref="P110:P125" si="67">SUBSTITUTE(N110,":","")</f>
        <v>0</v>
      </c>
      <c r="Q110" s="95">
        <f>IF(AND(G110=T$2,LEN(G110)&gt;1),1,0)</f>
        <v>0</v>
      </c>
      <c r="R110" s="97">
        <f>Singles!D$3</f>
        <v>1</v>
      </c>
      <c r="S110" s="95">
        <f>IF(AND(H110=H$2,LEN(H110)&gt;1,Q110=1),1,0)</f>
        <v>0</v>
      </c>
      <c r="T110" s="95" t="str">
        <f t="shared" ref="T110:T125" si="68">IF(V92=V110,"No","Winner")</f>
        <v>No</v>
      </c>
      <c r="U110" s="95" t="str">
        <f>IF(T110="Winner",IF(V110&gt;V92,B109,B91),"")</f>
        <v/>
      </c>
      <c r="V110" s="97">
        <f>VLOOKUP(1,X110:Y125,2,0)</f>
        <v>1</v>
      </c>
      <c r="W110" s="95">
        <v>1</v>
      </c>
      <c r="X110" s="95">
        <f t="shared" ref="X110:X125" si="69">R110</f>
        <v>1</v>
      </c>
      <c r="Y110" s="95">
        <f t="shared" ref="Y110:Y125" si="70">IF(Q110=1,IF(S110=1,4,3),IF(H110="2-1",2,1))</f>
        <v>1</v>
      </c>
      <c r="Z110" s="95">
        <f t="shared" ref="Z110:Z125" si="71">IF(AND($I$2=J110,B110=0),1,0)</f>
        <v>1</v>
      </c>
    </row>
    <row r="111" spans="1:26">
      <c r="A111" s="95">
        <v>2</v>
      </c>
      <c r="B111" s="95">
        <f>Singles!G96</f>
        <v>0</v>
      </c>
      <c r="C111" s="100" t="str">
        <f>IF(OR(LEFT(B111,LEN(B$3))=B$3,LEFT(B111,LEN(C$3))=C$3,LEN(B111)&lt;2),"","Wrong pick")</f>
        <v/>
      </c>
      <c r="G111" s="95" t="str">
        <f>IF(B111=0,"",IF(LEFT(B111,LEN(B$3))=B$3,B$3,C$3))</f>
        <v/>
      </c>
      <c r="H111" s="95" t="str">
        <f t="shared" si="61"/>
        <v>0-0</v>
      </c>
      <c r="J111" s="97">
        <f>Singles!H$4</f>
        <v>1</v>
      </c>
      <c r="K111" s="95" t="str">
        <f t="shared" si="62"/>
        <v>SR</v>
      </c>
      <c r="L111" s="95" t="str">
        <f t="shared" si="63"/>
        <v>0</v>
      </c>
      <c r="M111" s="95" t="str">
        <f t="shared" si="64"/>
        <v>0</v>
      </c>
      <c r="N111" s="95" t="str">
        <f t="shared" si="65"/>
        <v>0</v>
      </c>
      <c r="O111" s="95" t="str">
        <f t="shared" si="66"/>
        <v>0</v>
      </c>
      <c r="P111" s="95" t="str">
        <f t="shared" si="67"/>
        <v>0</v>
      </c>
      <c r="Q111" s="95">
        <f>IF(AND(G111=T$3,LEN(G111)&gt;1),1,0)</f>
        <v>0</v>
      </c>
      <c r="R111" s="97">
        <f>Singles!D$4</f>
        <v>2</v>
      </c>
      <c r="S111" s="95">
        <f>IF(AND(H111=H$3,LEN(H111)&gt;1,Q111=1),1,0)</f>
        <v>0</v>
      </c>
      <c r="T111" s="95" t="str">
        <f t="shared" si="68"/>
        <v>No</v>
      </c>
      <c r="U111" s="95" t="str">
        <f>IF(T111="Winner",IF(V111&gt;V93,B109,B91),"")</f>
        <v/>
      </c>
      <c r="V111" s="97">
        <f>VLOOKUP(2,X110:Y125,2,0)</f>
        <v>1</v>
      </c>
      <c r="W111" s="95">
        <v>2</v>
      </c>
      <c r="X111" s="95">
        <f t="shared" si="69"/>
        <v>2</v>
      </c>
      <c r="Y111" s="95">
        <f t="shared" si="70"/>
        <v>1</v>
      </c>
      <c r="Z111" s="95">
        <f t="shared" si="71"/>
        <v>1</v>
      </c>
    </row>
    <row r="112" spans="1:26">
      <c r="A112" s="95">
        <v>3</v>
      </c>
      <c r="B112" s="95">
        <f>Singles!G97</f>
        <v>0</v>
      </c>
      <c r="C112" s="100" t="str">
        <f>IF(OR(LEFT(B112,LEN(B$4))=B$4,LEFT(B112,LEN(C$4))=C$4,LEN(B112)&lt;2),"","Wrong pick")</f>
        <v/>
      </c>
      <c r="G112" s="95" t="str">
        <f>IF(B112=0,"",IF(LEFT(B112,LEN(B$4))=B$4,B$4,C$4))</f>
        <v/>
      </c>
      <c r="H112" s="95" t="str">
        <f t="shared" si="61"/>
        <v>0-0</v>
      </c>
      <c r="J112" s="97">
        <f>Singles!H$5</f>
        <v>1</v>
      </c>
      <c r="K112" s="95" t="str">
        <f t="shared" si="62"/>
        <v>SR</v>
      </c>
      <c r="L112" s="95" t="str">
        <f t="shared" si="63"/>
        <v>0</v>
      </c>
      <c r="M112" s="95" t="str">
        <f t="shared" si="64"/>
        <v>0</v>
      </c>
      <c r="N112" s="95" t="str">
        <f t="shared" si="65"/>
        <v>0</v>
      </c>
      <c r="O112" s="95" t="str">
        <f t="shared" si="66"/>
        <v>0</v>
      </c>
      <c r="P112" s="95" t="str">
        <f t="shared" si="67"/>
        <v>0</v>
      </c>
      <c r="Q112" s="95">
        <f>IF(AND(G112=T$4,LEN(G112)&gt;1),1,0)</f>
        <v>0</v>
      </c>
      <c r="R112" s="97">
        <f>Singles!D$5</f>
        <v>3</v>
      </c>
      <c r="S112" s="95">
        <f>IF(AND(H112=H$4,LEN(H112)&gt;1,Q112=1),1,0)</f>
        <v>0</v>
      </c>
      <c r="T112" s="95" t="str">
        <f t="shared" si="68"/>
        <v>No</v>
      </c>
      <c r="U112" s="95" t="str">
        <f>IF(T112="Winner",IF(V112&gt;V94,B109,B91),"")</f>
        <v/>
      </c>
      <c r="V112" s="97">
        <f>VLOOKUP(3,X110:Y125,2,0)</f>
        <v>1</v>
      </c>
      <c r="W112" s="95">
        <v>3</v>
      </c>
      <c r="X112" s="95">
        <f t="shared" si="69"/>
        <v>3</v>
      </c>
      <c r="Y112" s="95">
        <f t="shared" si="70"/>
        <v>1</v>
      </c>
      <c r="Z112" s="95">
        <f t="shared" si="71"/>
        <v>1</v>
      </c>
    </row>
    <row r="113" spans="1:26">
      <c r="A113" s="95">
        <v>4</v>
      </c>
      <c r="B113" s="95">
        <f>Singles!G98</f>
        <v>0</v>
      </c>
      <c r="C113" s="100" t="str">
        <f>IF(OR(LEFT(B113,LEN(B$5))=B$5,LEFT(B113,LEN(C$5))=C$5,LEN(B113)&lt;2),"","Wrong pick")</f>
        <v/>
      </c>
      <c r="G113" s="95" t="str">
        <f>IF(B113=0,"",IF(LEFT(B113,LEN(B$5))=B$5,B$5,C$5))</f>
        <v/>
      </c>
      <c r="H113" s="95" t="str">
        <f t="shared" si="61"/>
        <v>0-0</v>
      </c>
      <c r="J113" s="97">
        <f>Singles!H$6</f>
        <v>1</v>
      </c>
      <c r="K113" s="95" t="str">
        <f t="shared" si="62"/>
        <v>SR</v>
      </c>
      <c r="L113" s="95" t="str">
        <f t="shared" si="63"/>
        <v>0</v>
      </c>
      <c r="M113" s="95" t="str">
        <f t="shared" si="64"/>
        <v>0</v>
      </c>
      <c r="N113" s="95" t="str">
        <f t="shared" si="65"/>
        <v>0</v>
      </c>
      <c r="O113" s="95" t="str">
        <f t="shared" si="66"/>
        <v>0</v>
      </c>
      <c r="P113" s="95" t="str">
        <f t="shared" si="67"/>
        <v>0</v>
      </c>
      <c r="Q113" s="95">
        <f>IF(AND(G113=T$5,LEN(G113)&gt;1),1,0)</f>
        <v>0</v>
      </c>
      <c r="R113" s="97">
        <f>Singles!D$6</f>
        <v>4</v>
      </c>
      <c r="S113" s="95">
        <f>IF(AND(H113=H$5,LEN(H113)&gt;1,Q113=1),1,0)</f>
        <v>0</v>
      </c>
      <c r="T113" s="95" t="str">
        <f t="shared" si="68"/>
        <v>Winner</v>
      </c>
      <c r="U113" s="95" t="str">
        <f>IF(T113="Winner",IF(V113&gt;V95,B109,B91),"")</f>
        <v>geangr</v>
      </c>
      <c r="V113" s="97">
        <f>VLOOKUP(4,X110:Y125,2,0)</f>
        <v>1</v>
      </c>
      <c r="W113" s="95">
        <v>4</v>
      </c>
      <c r="X113" s="95">
        <f t="shared" si="69"/>
        <v>4</v>
      </c>
      <c r="Y113" s="95">
        <f t="shared" si="70"/>
        <v>1</v>
      </c>
      <c r="Z113" s="95">
        <f t="shared" si="71"/>
        <v>1</v>
      </c>
    </row>
    <row r="114" spans="1:26">
      <c r="A114" s="95">
        <v>5</v>
      </c>
      <c r="B114" s="95">
        <f>Singles!G99</f>
        <v>0</v>
      </c>
      <c r="C114" s="100" t="str">
        <f>IF(OR(LEFT(B114,LEN(B$6))=B$6,LEFT(B114,LEN(C$6))=C$6,LEN(B114)&lt;2),"","Wrong pick")</f>
        <v/>
      </c>
      <c r="G114" s="95" t="str">
        <f>IF(B114=0,"",IF(LEFT(B114,LEN(B$6))=B$6,B$6,C$6))</f>
        <v/>
      </c>
      <c r="H114" s="95" t="str">
        <f t="shared" si="61"/>
        <v>0-0</v>
      </c>
      <c r="J114" s="97">
        <f>Singles!H$7</f>
        <v>1</v>
      </c>
      <c r="K114" s="95" t="str">
        <f t="shared" si="62"/>
        <v>SR</v>
      </c>
      <c r="L114" s="95" t="str">
        <f t="shared" si="63"/>
        <v>0</v>
      </c>
      <c r="M114" s="95" t="str">
        <f t="shared" si="64"/>
        <v>0</v>
      </c>
      <c r="N114" s="95" t="str">
        <f t="shared" si="65"/>
        <v>0</v>
      </c>
      <c r="O114" s="95" t="str">
        <f t="shared" si="66"/>
        <v>0</v>
      </c>
      <c r="P114" s="95" t="str">
        <f t="shared" si="67"/>
        <v>0</v>
      </c>
      <c r="Q114" s="95">
        <f>IF(AND(G114=T$6,LEN(G114)&gt;1),1,0)</f>
        <v>0</v>
      </c>
      <c r="R114" s="97">
        <f>Singles!D$7</f>
        <v>5</v>
      </c>
      <c r="S114" s="95">
        <f>IF(AND(H114=H$6,LEN(H114)&gt;1,Q114=1),1,0)</f>
        <v>0</v>
      </c>
      <c r="T114" s="95" t="str">
        <f t="shared" si="68"/>
        <v>No</v>
      </c>
      <c r="U114" s="95" t="str">
        <f>IF(T114="Winner",IF(V114&gt;V96,B109,B91),"")</f>
        <v/>
      </c>
      <c r="V114" s="97">
        <f>VLOOKUP(5,X110:Y125,2,0)</f>
        <v>1</v>
      </c>
      <c r="W114" s="95">
        <v>5</v>
      </c>
      <c r="X114" s="95">
        <f t="shared" si="69"/>
        <v>5</v>
      </c>
      <c r="Y114" s="95">
        <f t="shared" si="70"/>
        <v>1</v>
      </c>
      <c r="Z114" s="95">
        <f t="shared" si="71"/>
        <v>1</v>
      </c>
    </row>
    <row r="115" spans="1:26">
      <c r="A115" s="95">
        <v>6</v>
      </c>
      <c r="B115" s="95">
        <f>Singles!G100</f>
        <v>0</v>
      </c>
      <c r="C115" s="100" t="str">
        <f>IF(OR(LEFT(B115,LEN(B$7))=B$7,LEFT(B115,LEN(C$7))=C$7,LEN(B115)&lt;2),"","Wrong pick")</f>
        <v/>
      </c>
      <c r="G115" s="95" t="str">
        <f>IF(B115=0,"",IF(LEFT(B115,LEN(B$7))=B$7,B$7,C$7))</f>
        <v/>
      </c>
      <c r="H115" s="95" t="str">
        <f t="shared" si="61"/>
        <v>0-0</v>
      </c>
      <c r="J115" s="97">
        <f>Singles!H$8</f>
        <v>1</v>
      </c>
      <c r="K115" s="95" t="str">
        <f t="shared" si="62"/>
        <v>SR</v>
      </c>
      <c r="L115" s="95" t="str">
        <f t="shared" si="63"/>
        <v>0</v>
      </c>
      <c r="M115" s="95" t="str">
        <f t="shared" si="64"/>
        <v>0</v>
      </c>
      <c r="N115" s="95" t="str">
        <f t="shared" si="65"/>
        <v>0</v>
      </c>
      <c r="O115" s="95" t="str">
        <f t="shared" si="66"/>
        <v>0</v>
      </c>
      <c r="P115" s="95" t="str">
        <f t="shared" si="67"/>
        <v>0</v>
      </c>
      <c r="Q115" s="95">
        <f>IF(AND(G115=T$7,LEN(G115)&gt;1),1,0)</f>
        <v>0</v>
      </c>
      <c r="R115" s="97">
        <f>Singles!D$8</f>
        <v>6</v>
      </c>
      <c r="S115" s="95">
        <f>IF(AND(H115=H$7,LEN(H115)&gt;1,Q115=1),1,0)</f>
        <v>0</v>
      </c>
      <c r="T115" s="95" t="str">
        <f t="shared" si="68"/>
        <v>No</v>
      </c>
      <c r="U115" s="95" t="str">
        <f>IF(T115="Winner",IF(V115&gt;V97,B109,B91),"")</f>
        <v/>
      </c>
      <c r="V115" s="97">
        <f>VLOOKUP(6,X110:Y125,2,0)</f>
        <v>1</v>
      </c>
      <c r="W115" s="95">
        <v>6</v>
      </c>
      <c r="X115" s="95">
        <f t="shared" si="69"/>
        <v>6</v>
      </c>
      <c r="Y115" s="95">
        <f t="shared" si="70"/>
        <v>1</v>
      </c>
      <c r="Z115" s="95">
        <f t="shared" si="71"/>
        <v>1</v>
      </c>
    </row>
    <row r="116" spans="1:26">
      <c r="A116" s="95">
        <v>7</v>
      </c>
      <c r="B116" s="95">
        <f>Singles!G101</f>
        <v>0</v>
      </c>
      <c r="C116" s="100" t="str">
        <f>IF(OR(LEFT(B116,LEN(B$8))=B$8,LEFT(B116,LEN(C$8))=C$8,LEN(B116)&lt;2),"","Wrong pick")</f>
        <v/>
      </c>
      <c r="G116" s="95" t="str">
        <f>IF(B116=0,"",IF(LEFT(B116,LEN(B$8))=B$8,B$8,C$8))</f>
        <v/>
      </c>
      <c r="H116" s="95" t="str">
        <f t="shared" si="61"/>
        <v>0-0</v>
      </c>
      <c r="J116" s="97">
        <f>Singles!H$9</f>
        <v>1</v>
      </c>
      <c r="K116" s="95" t="str">
        <f t="shared" si="62"/>
        <v>SR</v>
      </c>
      <c r="L116" s="95" t="str">
        <f t="shared" si="63"/>
        <v>0</v>
      </c>
      <c r="M116" s="95" t="str">
        <f t="shared" si="64"/>
        <v>0</v>
      </c>
      <c r="N116" s="95" t="str">
        <f t="shared" si="65"/>
        <v>0</v>
      </c>
      <c r="O116" s="95" t="str">
        <f t="shared" si="66"/>
        <v>0</v>
      </c>
      <c r="P116" s="95" t="str">
        <f t="shared" si="67"/>
        <v>0</v>
      </c>
      <c r="Q116" s="95">
        <f>IF(AND(G116=T$8,LEN(G116)&gt;1),1,0)</f>
        <v>0</v>
      </c>
      <c r="R116" s="97">
        <f>Singles!D$9</f>
        <v>7</v>
      </c>
      <c r="S116" s="95">
        <f>IF(AND(H116=H$8,LEN(H116)&gt;1,Q116=1),1,0)</f>
        <v>0</v>
      </c>
      <c r="T116" s="95" t="str">
        <f t="shared" si="68"/>
        <v>No</v>
      </c>
      <c r="U116" s="95" t="str">
        <f>IF(T116="Winner",IF(V116&gt;V98,B109,B91),"")</f>
        <v/>
      </c>
      <c r="V116" s="97">
        <f>VLOOKUP(7,X110:Y125,2,0)</f>
        <v>1</v>
      </c>
      <c r="W116" s="95">
        <v>7</v>
      </c>
      <c r="X116" s="95">
        <f t="shared" si="69"/>
        <v>7</v>
      </c>
      <c r="Y116" s="95">
        <f t="shared" si="70"/>
        <v>1</v>
      </c>
      <c r="Z116" s="95">
        <f t="shared" si="71"/>
        <v>1</v>
      </c>
    </row>
    <row r="117" spans="1:26">
      <c r="A117" s="95">
        <v>8</v>
      </c>
      <c r="B117" s="95">
        <f>Singles!G102</f>
        <v>0</v>
      </c>
      <c r="C117" s="100" t="str">
        <f>IF(OR(LEFT(B117,LEN(B$9))=B$9,LEFT(B117,LEN(C$9))=C$9,LEN(B117)&lt;2),"","Wrong pick")</f>
        <v/>
      </c>
      <c r="G117" s="95" t="str">
        <f>IF(B117=0,"",IF(LEFT(B117,LEN(B$9))=B$9,B$9,C$9))</f>
        <v/>
      </c>
      <c r="H117" s="95" t="str">
        <f t="shared" si="61"/>
        <v>0-0</v>
      </c>
      <c r="J117" s="97">
        <f>Singles!H$10</f>
        <v>1</v>
      </c>
      <c r="K117" s="95" t="str">
        <f t="shared" si="62"/>
        <v>SR</v>
      </c>
      <c r="L117" s="95" t="str">
        <f t="shared" si="63"/>
        <v>0</v>
      </c>
      <c r="M117" s="95" t="str">
        <f t="shared" si="64"/>
        <v>0</v>
      </c>
      <c r="N117" s="95" t="str">
        <f t="shared" si="65"/>
        <v>0</v>
      </c>
      <c r="O117" s="95" t="str">
        <f t="shared" si="66"/>
        <v>0</v>
      </c>
      <c r="P117" s="95" t="str">
        <f t="shared" si="67"/>
        <v>0</v>
      </c>
      <c r="Q117" s="95">
        <f>IF(AND(G117=T$9,LEN(G117)&gt;1),1,0)</f>
        <v>0</v>
      </c>
      <c r="R117" s="97">
        <f>Singles!D$10</f>
        <v>8</v>
      </c>
      <c r="S117" s="95">
        <f>IF(AND(H117=H$9,LEN(H117)&gt;1,Q117=1),1,0)</f>
        <v>0</v>
      </c>
      <c r="T117" s="95" t="str">
        <f t="shared" si="68"/>
        <v>No</v>
      </c>
      <c r="U117" s="95" t="str">
        <f>IF(T117="Winner",IF(V117&gt;V99,B109,B91),"")</f>
        <v/>
      </c>
      <c r="V117" s="97">
        <f>VLOOKUP(8,X110:Y125,2,0)</f>
        <v>1</v>
      </c>
      <c r="W117" s="95">
        <v>8</v>
      </c>
      <c r="X117" s="95">
        <f t="shared" si="69"/>
        <v>8</v>
      </c>
      <c r="Y117" s="95">
        <f t="shared" si="70"/>
        <v>1</v>
      </c>
      <c r="Z117" s="95">
        <f t="shared" si="71"/>
        <v>1</v>
      </c>
    </row>
    <row r="118" spans="1:26">
      <c r="A118" s="95">
        <v>9</v>
      </c>
      <c r="B118" s="95">
        <f>Singles!G103</f>
        <v>0</v>
      </c>
      <c r="C118" s="100" t="str">
        <f>IF(OR(LEFT(B118,LEN(B$10))=B$10,LEFT(B118,LEN(C$10))=C$10,LEN(B118)&lt;2),"","Wrong pick")</f>
        <v/>
      </c>
      <c r="G118" s="95" t="str">
        <f>IF(B118=0,"",IF(LEFT(B118,LEN(B$10))=B$10,B$10,C$10))</f>
        <v/>
      </c>
      <c r="H118" s="95" t="str">
        <f t="shared" si="61"/>
        <v>0-0</v>
      </c>
      <c r="J118" s="97">
        <f>Singles!H$11</f>
        <v>1</v>
      </c>
      <c r="K118" s="95" t="str">
        <f t="shared" si="62"/>
        <v>SR</v>
      </c>
      <c r="L118" s="95" t="str">
        <f t="shared" si="63"/>
        <v>0</v>
      </c>
      <c r="M118" s="95" t="str">
        <f t="shared" si="64"/>
        <v>0</v>
      </c>
      <c r="N118" s="95" t="str">
        <f t="shared" si="65"/>
        <v>0</v>
      </c>
      <c r="O118" s="95" t="str">
        <f t="shared" si="66"/>
        <v>0</v>
      </c>
      <c r="P118" s="95" t="str">
        <f t="shared" si="67"/>
        <v>0</v>
      </c>
      <c r="Q118" s="95">
        <f>IF(AND(G118=T$10,LEN(G118)&gt;1),1,0)</f>
        <v>0</v>
      </c>
      <c r="R118" s="97">
        <f>Singles!D$11</f>
        <v>9</v>
      </c>
      <c r="S118" s="95">
        <f>IF(AND(H118=H$10,LEN(H118)&gt;1,Q118=1),1,0)</f>
        <v>0</v>
      </c>
      <c r="T118" s="95" t="str">
        <f t="shared" si="68"/>
        <v>No</v>
      </c>
      <c r="U118" s="95" t="str">
        <f>IF(T118="Winner",IF(V118&gt;V100,B109,B91),"")</f>
        <v/>
      </c>
      <c r="V118" s="97">
        <f>VLOOKUP(9,X110:Y125,2,0)</f>
        <v>1</v>
      </c>
      <c r="W118" s="95">
        <v>9</v>
      </c>
      <c r="X118" s="95">
        <f t="shared" si="69"/>
        <v>9</v>
      </c>
      <c r="Y118" s="95">
        <f t="shared" si="70"/>
        <v>1</v>
      </c>
      <c r="Z118" s="95">
        <f t="shared" si="71"/>
        <v>1</v>
      </c>
    </row>
    <row r="119" spans="1:26">
      <c r="A119" s="95">
        <v>10</v>
      </c>
      <c r="B119" s="95">
        <f>Singles!G104</f>
        <v>0</v>
      </c>
      <c r="C119" s="100" t="str">
        <f>IF(OR(LEFT(B119,LEN(B$11))=B$11,LEFT(B119,LEN(C$11))=C$11,LEN(B119)&lt;2),"","Wrong pick")</f>
        <v/>
      </c>
      <c r="G119" s="95" t="str">
        <f>IF(B119=0,"",IF(LEFT(B119,LEN(B$11))=B$11,B$11,C$11))</f>
        <v/>
      </c>
      <c r="H119" s="95" t="str">
        <f t="shared" si="61"/>
        <v>0-0</v>
      </c>
      <c r="J119" s="97">
        <f>Singles!H$12</f>
        <v>1</v>
      </c>
      <c r="K119" s="95" t="str">
        <f t="shared" si="62"/>
        <v>SR</v>
      </c>
      <c r="L119" s="95" t="str">
        <f t="shared" si="63"/>
        <v>0</v>
      </c>
      <c r="M119" s="95" t="str">
        <f t="shared" si="64"/>
        <v>0</v>
      </c>
      <c r="N119" s="95" t="str">
        <f t="shared" si="65"/>
        <v>0</v>
      </c>
      <c r="O119" s="95" t="str">
        <f t="shared" si="66"/>
        <v>0</v>
      </c>
      <c r="P119" s="95" t="str">
        <f t="shared" si="67"/>
        <v>0</v>
      </c>
      <c r="Q119" s="95">
        <f>IF(AND(G119=T$11,LEN(G119)&gt;1),1,0)</f>
        <v>0</v>
      </c>
      <c r="R119" s="97">
        <f>Singles!D$12</f>
        <v>10</v>
      </c>
      <c r="S119" s="95">
        <f>IF(AND(H119=H$11,LEN(H119)&gt;1,Q119=1),1,0)</f>
        <v>0</v>
      </c>
      <c r="T119" s="95" t="str">
        <f t="shared" si="68"/>
        <v>No</v>
      </c>
      <c r="U119" s="95" t="str">
        <f>IF(T119="Winner",IF(V119&gt;V101,B109,B91),"")</f>
        <v/>
      </c>
      <c r="V119" s="97">
        <f>VLOOKUP(10,X110:Y125,2,0)</f>
        <v>1</v>
      </c>
      <c r="W119" s="95">
        <v>10</v>
      </c>
      <c r="X119" s="95">
        <f t="shared" si="69"/>
        <v>10</v>
      </c>
      <c r="Y119" s="95">
        <f t="shared" si="70"/>
        <v>1</v>
      </c>
      <c r="Z119" s="95">
        <f t="shared" si="71"/>
        <v>1</v>
      </c>
    </row>
    <row r="120" spans="1:26">
      <c r="A120" s="95">
        <v>11</v>
      </c>
      <c r="B120" s="95">
        <f>Singles!G105</f>
        <v>0</v>
      </c>
      <c r="C120" s="100" t="str">
        <f>IF(OR(LEFT(B120,LEN(B$12))=B$12,LEFT(B120,LEN(C$12))=C$12,LEN(B120)&lt;2),"","Wrong pick")</f>
        <v/>
      </c>
      <c r="G120" s="95" t="str">
        <f>IF(B120=0,"",IF(LEFT(B120,LEN(B$12))=B$12,B$12,C$12))</f>
        <v/>
      </c>
      <c r="H120" s="95" t="str">
        <f t="shared" si="61"/>
        <v>0-0</v>
      </c>
      <c r="J120" s="97">
        <f>Singles!H$13</f>
        <v>1</v>
      </c>
      <c r="K120" s="95" t="str">
        <f t="shared" si="62"/>
        <v>SR</v>
      </c>
      <c r="L120" s="95" t="str">
        <f t="shared" si="63"/>
        <v>0</v>
      </c>
      <c r="M120" s="95" t="str">
        <f t="shared" si="64"/>
        <v>0</v>
      </c>
      <c r="N120" s="95" t="str">
        <f t="shared" si="65"/>
        <v>0</v>
      </c>
      <c r="O120" s="95" t="str">
        <f t="shared" si="66"/>
        <v>0</v>
      </c>
      <c r="P120" s="95" t="str">
        <f t="shared" si="67"/>
        <v>0</v>
      </c>
      <c r="Q120" s="95">
        <f>IF(AND(G120=T$12,LEN(G120)&gt;1),1,0)</f>
        <v>0</v>
      </c>
      <c r="R120" s="97">
        <f>Singles!D$13</f>
        <v>11</v>
      </c>
      <c r="S120" s="95">
        <f>IF(AND(H120=H$12,LEN(H120)&gt;1,Q120=1),1,0)</f>
        <v>0</v>
      </c>
      <c r="T120" s="95" t="str">
        <f t="shared" si="68"/>
        <v>No</v>
      </c>
      <c r="U120" s="95" t="str">
        <f>IF(T120="Winner",IF(V120&gt;V102,B109,B91),"")</f>
        <v/>
      </c>
      <c r="V120" s="97">
        <f>VLOOKUP(11,X110:Y125,2,0)</f>
        <v>1</v>
      </c>
      <c r="W120" s="95">
        <v>11</v>
      </c>
      <c r="X120" s="95">
        <f t="shared" si="69"/>
        <v>11</v>
      </c>
      <c r="Y120" s="95">
        <f t="shared" si="70"/>
        <v>1</v>
      </c>
      <c r="Z120" s="95">
        <f t="shared" si="71"/>
        <v>1</v>
      </c>
    </row>
    <row r="121" spans="1:26">
      <c r="A121" s="95">
        <v>12</v>
      </c>
      <c r="B121" s="95">
        <f>Singles!G106</f>
        <v>0</v>
      </c>
      <c r="C121" s="100" t="str">
        <f>IF(OR(LEFT(B121,LEN(B$13))=B$13,LEFT(B121,LEN(C$13))=C$13,LEN(B121)&lt;2),"","Wrong pick")</f>
        <v/>
      </c>
      <c r="G121" s="95" t="str">
        <f>IF(B121=0,"",IF(LEFT(B121,LEN(B$13))=B$13,B$13,C$13))</f>
        <v/>
      </c>
      <c r="H121" s="95" t="str">
        <f t="shared" si="61"/>
        <v>0-0</v>
      </c>
      <c r="J121" s="97">
        <f>Singles!H$14</f>
        <v>1</v>
      </c>
      <c r="K121" s="95" t="str">
        <f t="shared" si="62"/>
        <v>SR</v>
      </c>
      <c r="L121" s="95" t="str">
        <f t="shared" si="63"/>
        <v>0</v>
      </c>
      <c r="M121" s="95" t="str">
        <f t="shared" si="64"/>
        <v>0</v>
      </c>
      <c r="N121" s="95" t="str">
        <f t="shared" si="65"/>
        <v>0</v>
      </c>
      <c r="O121" s="95" t="str">
        <f t="shared" si="66"/>
        <v>0</v>
      </c>
      <c r="P121" s="95" t="str">
        <f t="shared" si="67"/>
        <v>0</v>
      </c>
      <c r="Q121" s="95">
        <f>IF(AND(G121=T$13,LEN(G121)&gt;1),1,0)</f>
        <v>0</v>
      </c>
      <c r="R121" s="97">
        <f>Singles!D$14</f>
        <v>12</v>
      </c>
      <c r="S121" s="95">
        <f>IF(AND(H121=H$13,LEN(H121)&gt;1,Q121=1),1,0)</f>
        <v>0</v>
      </c>
      <c r="T121" s="95" t="str">
        <f t="shared" si="68"/>
        <v>Winner</v>
      </c>
      <c r="U121" s="95" t="str">
        <f>IF(T121="Winner",IF(V121&gt;V103,B109,B91),"")</f>
        <v>geangr</v>
      </c>
      <c r="V121" s="97">
        <f>VLOOKUP(12,X110:Y125,2,0)</f>
        <v>1</v>
      </c>
      <c r="W121" s="95">
        <v>12</v>
      </c>
      <c r="X121" s="95">
        <f t="shared" si="69"/>
        <v>12</v>
      </c>
      <c r="Y121" s="95">
        <f t="shared" si="70"/>
        <v>1</v>
      </c>
      <c r="Z121" s="95">
        <f t="shared" si="71"/>
        <v>1</v>
      </c>
    </row>
    <row r="122" spans="1:26">
      <c r="A122" s="95">
        <v>13</v>
      </c>
      <c r="B122" s="95">
        <f>Singles!G107</f>
        <v>0</v>
      </c>
      <c r="C122" s="100" t="str">
        <f>IF(OR(LEFT(B122,LEN(B$14))=B$14,LEFT(B122,LEN(C$14))=C$14,LEN(B122)&lt;2),"","Wrong pick")</f>
        <v/>
      </c>
      <c r="G122" s="95" t="str">
        <f>IF(B122=0,"",IF(LEFT(B122,LEN(B$14))=B$14,B$14,C$14))</f>
        <v/>
      </c>
      <c r="H122" s="95" t="str">
        <f t="shared" si="61"/>
        <v>0-0</v>
      </c>
      <c r="J122" s="97">
        <f>Singles!H$15</f>
        <v>1</v>
      </c>
      <c r="K122" s="95" t="str">
        <f t="shared" si="62"/>
        <v>SR</v>
      </c>
      <c r="L122" s="95" t="str">
        <f t="shared" si="63"/>
        <v>0</v>
      </c>
      <c r="M122" s="95" t="str">
        <f t="shared" si="64"/>
        <v>0</v>
      </c>
      <c r="N122" s="95" t="str">
        <f t="shared" si="65"/>
        <v>0</v>
      </c>
      <c r="O122" s="95" t="str">
        <f t="shared" si="66"/>
        <v>0</v>
      </c>
      <c r="P122" s="95" t="str">
        <f t="shared" si="67"/>
        <v>0</v>
      </c>
      <c r="Q122" s="95">
        <f>IF(AND(G122=T$14,LEN(G122)&gt;1),1,0)</f>
        <v>0</v>
      </c>
      <c r="R122" s="97">
        <f>Singles!D$15</f>
        <v>13</v>
      </c>
      <c r="S122" s="95">
        <f>IF(AND(H122=H$14,LEN(H122)&gt;1,Q122=1),1,0)</f>
        <v>0</v>
      </c>
      <c r="T122" s="95" t="str">
        <f t="shared" si="68"/>
        <v>No</v>
      </c>
      <c r="U122" s="95" t="str">
        <f>IF(T122="Winner",IF(V122&gt;V104,B109,B91),"")</f>
        <v/>
      </c>
      <c r="V122" s="97">
        <f>VLOOKUP(13,X110:Y125,2,0)</f>
        <v>1</v>
      </c>
      <c r="W122" s="95">
        <v>13</v>
      </c>
      <c r="X122" s="95">
        <f t="shared" si="69"/>
        <v>13</v>
      </c>
      <c r="Y122" s="95">
        <f t="shared" si="70"/>
        <v>1</v>
      </c>
      <c r="Z122" s="95">
        <f t="shared" si="71"/>
        <v>1</v>
      </c>
    </row>
    <row r="123" spans="1:26">
      <c r="A123" s="95">
        <v>14</v>
      </c>
      <c r="B123" s="95">
        <f>Singles!G108</f>
        <v>0</v>
      </c>
      <c r="C123" s="100" t="str">
        <f>IF(OR(LEFT(B123,LEN(B$15))=B$15,LEFT(B123,LEN(C$15))=C$15,LEN(B123)&lt;2),"","Wrong pick")</f>
        <v/>
      </c>
      <c r="G123" s="95" t="str">
        <f>IF(B123=0,"",IF(LEFT(B123,LEN(B$15))=B$15,B$15,C$15))</f>
        <v/>
      </c>
      <c r="H123" s="95" t="str">
        <f t="shared" si="61"/>
        <v>0-0</v>
      </c>
      <c r="J123" s="97">
        <f>Singles!H$16</f>
        <v>1</v>
      </c>
      <c r="K123" s="95" t="str">
        <f t="shared" si="62"/>
        <v>SR</v>
      </c>
      <c r="L123" s="95" t="str">
        <f t="shared" si="63"/>
        <v>0</v>
      </c>
      <c r="M123" s="95" t="str">
        <f t="shared" si="64"/>
        <v>0</v>
      </c>
      <c r="N123" s="95" t="str">
        <f t="shared" si="65"/>
        <v>0</v>
      </c>
      <c r="O123" s="95" t="str">
        <f t="shared" si="66"/>
        <v>0</v>
      </c>
      <c r="P123" s="95" t="str">
        <f t="shared" si="67"/>
        <v>0</v>
      </c>
      <c r="Q123" s="95">
        <f>IF(AND(G123=T$15,LEN(G123)&gt;1),1,0)</f>
        <v>0</v>
      </c>
      <c r="R123" s="97">
        <f>Singles!D$16</f>
        <v>14</v>
      </c>
      <c r="S123" s="95">
        <f>IF(AND(H123=H$15,LEN(H123)&gt;1,Q123=1),1,0)</f>
        <v>0</v>
      </c>
      <c r="T123" s="95" t="str">
        <f t="shared" si="68"/>
        <v>No</v>
      </c>
      <c r="U123" s="95" t="str">
        <f>IF(T123="Winner",IF(V123&gt;V105,B109,B91),"")</f>
        <v/>
      </c>
      <c r="V123" s="97">
        <f>VLOOKUP(14,X110:Y125,2,0)</f>
        <v>1</v>
      </c>
      <c r="W123" s="95">
        <v>14</v>
      </c>
      <c r="X123" s="95">
        <f t="shared" si="69"/>
        <v>14</v>
      </c>
      <c r="Y123" s="95">
        <f t="shared" si="70"/>
        <v>1</v>
      </c>
      <c r="Z123" s="95">
        <f t="shared" si="71"/>
        <v>1</v>
      </c>
    </row>
    <row r="124" spans="1:26">
      <c r="A124" s="95">
        <v>15</v>
      </c>
      <c r="B124" s="95">
        <f>Singles!G109</f>
        <v>0</v>
      </c>
      <c r="C124" s="100" t="str">
        <f>IF(OR(LEFT(B124,LEN(B$16))=B$16,LEFT(B124,LEN(C$16))=C$16,LEN(B124)&lt;2),"","Wrong pick")</f>
        <v/>
      </c>
      <c r="G124" s="95" t="str">
        <f>IF(B124=0,"",IF(LEFT(B124,LEN(B$16))=B$16,B$16,C$16))</f>
        <v/>
      </c>
      <c r="H124" s="95" t="str">
        <f t="shared" si="61"/>
        <v>0-0</v>
      </c>
      <c r="J124" s="97">
        <f>Singles!H$17</f>
        <v>1</v>
      </c>
      <c r="K124" s="95" t="str">
        <f t="shared" si="62"/>
        <v>SR</v>
      </c>
      <c r="L124" s="95" t="str">
        <f t="shared" si="63"/>
        <v>0</v>
      </c>
      <c r="M124" s="95" t="str">
        <f t="shared" si="64"/>
        <v>0</v>
      </c>
      <c r="N124" s="95" t="str">
        <f t="shared" si="65"/>
        <v>0</v>
      </c>
      <c r="O124" s="95" t="str">
        <f t="shared" si="66"/>
        <v>0</v>
      </c>
      <c r="P124" s="95" t="str">
        <f t="shared" si="67"/>
        <v>0</v>
      </c>
      <c r="Q124" s="95">
        <f>IF(AND(G124=T$16,LEN(G124)&gt;1),1,0)</f>
        <v>0</v>
      </c>
      <c r="R124" s="97">
        <f>Singles!D$17</f>
        <v>15</v>
      </c>
      <c r="S124" s="95">
        <f>IF(AND(H124=H$16,LEN(H124)&gt;1,Q124=1),1,0)</f>
        <v>0</v>
      </c>
      <c r="T124" s="95" t="str">
        <f t="shared" si="68"/>
        <v>No</v>
      </c>
      <c r="U124" s="95" t="str">
        <f>IF(T124="Winner",IF(V124&gt;V106,B109,B91),"")</f>
        <v/>
      </c>
      <c r="V124" s="97">
        <f>VLOOKUP(15,X110:Y125,2,0)</f>
        <v>1</v>
      </c>
      <c r="W124" s="95">
        <v>15</v>
      </c>
      <c r="X124" s="95">
        <f t="shared" si="69"/>
        <v>15</v>
      </c>
      <c r="Y124" s="95">
        <f t="shared" si="70"/>
        <v>1</v>
      </c>
      <c r="Z124" s="95">
        <f t="shared" si="71"/>
        <v>1</v>
      </c>
    </row>
    <row r="125" spans="1:26">
      <c r="A125" s="95">
        <v>16</v>
      </c>
      <c r="B125" s="95">
        <f>Singles!G110</f>
        <v>0</v>
      </c>
      <c r="C125" s="100" t="str">
        <f>IF(OR(LEFT(B125,LEN(B$17))=B$17,LEFT(B125,LEN(C$17))=C$17,LEN(B125)&lt;2),"","Wrong pick")</f>
        <v/>
      </c>
      <c r="G125" s="95" t="str">
        <f>IF(B125=0,"",IF(LEFT(B125,LEN(B$17))=B$17,B$17,C$17))</f>
        <v/>
      </c>
      <c r="H125" s="95" t="str">
        <f t="shared" si="61"/>
        <v>0-0</v>
      </c>
      <c r="J125" s="97">
        <f>Singles!H$18</f>
        <v>1</v>
      </c>
      <c r="K125" s="95" t="str">
        <f t="shared" si="62"/>
        <v>SR</v>
      </c>
      <c r="L125" s="95" t="str">
        <f t="shared" si="63"/>
        <v>0</v>
      </c>
      <c r="M125" s="95" t="str">
        <f t="shared" si="64"/>
        <v>0</v>
      </c>
      <c r="N125" s="95" t="str">
        <f t="shared" si="65"/>
        <v>0</v>
      </c>
      <c r="O125" s="95" t="str">
        <f t="shared" si="66"/>
        <v>0</v>
      </c>
      <c r="P125" s="95" t="str">
        <f t="shared" si="67"/>
        <v>0</v>
      </c>
      <c r="Q125" s="95">
        <f>IF(AND(G125=T$17,LEN(G125)&gt;1),1,0)</f>
        <v>0</v>
      </c>
      <c r="R125" s="97">
        <f>Singles!D$18</f>
        <v>16</v>
      </c>
      <c r="S125" s="95">
        <f>IF(AND(H125=H$17,LEN(H125)&gt;1,Q125=1),1,0)</f>
        <v>0</v>
      </c>
      <c r="T125" s="95" t="str">
        <f t="shared" si="68"/>
        <v>No</v>
      </c>
      <c r="U125" s="95" t="str">
        <f>IF(T125="Winner",IF(V125&gt;V107,B109,B91),"")</f>
        <v/>
      </c>
      <c r="V125" s="97">
        <f>VLOOKUP(16,X110:Y125,2,0)</f>
        <v>1</v>
      </c>
      <c r="W125" s="95">
        <v>16</v>
      </c>
      <c r="X125" s="95">
        <f t="shared" si="69"/>
        <v>16</v>
      </c>
      <c r="Y125" s="95">
        <f t="shared" si="70"/>
        <v>1</v>
      </c>
      <c r="Z125" s="95">
        <f t="shared" si="71"/>
        <v>1</v>
      </c>
    </row>
    <row r="126" spans="1:26">
      <c r="T126" s="95" t="s">
        <v>89</v>
      </c>
      <c r="U126" s="95" t="s">
        <v>125</v>
      </c>
      <c r="W126" s="95">
        <v>17</v>
      </c>
    </row>
    <row r="127" spans="1:26">
      <c r="A127" s="95" t="str">
        <f>IF(LEN(VLOOKUP(B127,Singles!$A$2:$B$33,2,0))&gt;0,VLOOKUP(B127,Singles!$A$2:$B$33,2,0),"")</f>
        <v>ALT</v>
      </c>
      <c r="B127" s="96" t="str">
        <f>Singles!H94</f>
        <v>Broseghini</v>
      </c>
      <c r="C127" s="96">
        <v>7</v>
      </c>
      <c r="D127" s="95" t="str">
        <f>VLOOKUP(B127,Singles!$A$2:$C$33,3,0)</f>
        <v>BRA</v>
      </c>
      <c r="J127" s="95" t="s">
        <v>88</v>
      </c>
      <c r="Q127" s="95" t="s">
        <v>121</v>
      </c>
      <c r="S127" s="95" t="s">
        <v>122</v>
      </c>
      <c r="T127" s="95" t="str">
        <f>IF(LEN(A127)&gt;0,"("&amp;A127&amp;") "&amp;B127,B127)&amp;IF(LEN(D127)&gt;1," ("&amp;D127&amp;")","")</f>
        <v>(ALT) Broseghini (BRA)</v>
      </c>
      <c r="V127" s="95" t="s">
        <v>123</v>
      </c>
      <c r="Y127" s="95" t="s">
        <v>123</v>
      </c>
    </row>
    <row r="128" spans="1:26">
      <c r="A128" s="95">
        <v>1</v>
      </c>
      <c r="B128" s="95" t="str">
        <f>Singles!H95</f>
        <v>GHEM 64 64</v>
      </c>
      <c r="C128" s="99" t="str">
        <f>IF(OR(LEFT(B128,LEN(B$2))=B$2,LEFT(B128,LEN(C$2))=C$2,LEN(B128)&lt;2),"","Wrong pick")</f>
        <v/>
      </c>
      <c r="D128" s="95">
        <f t="shared" ref="D128:D143" ca="1" si="72">IF(OR(G128=G146,INDIRECT(ADDRESS(A128+1,6,1))&gt;0),0,1)</f>
        <v>0</v>
      </c>
      <c r="E128" s="95" t="str">
        <f ca="1">IF(AND(D128=1,J128=$I$2),G128&amp;", ","")&amp;IF(AND(D129=1,J129=$I$2),G129&amp;", ","")&amp;IF(AND(D130=1,J130=$I$2),G130&amp;", ","")&amp;IF(AND(D131=1,J131=$I$2),G131&amp;", ","")&amp;IF(AND(D132=1,J132=$I$2),G132&amp;", ","")&amp;IF(AND(D133=1,J133=$I$2),G133&amp;", ","")&amp;IF(AND(D134=1,J134=$I$2),G134&amp;", ","")&amp;IF(AND(D135=1,J135=$I$2),G135&amp;", ","")&amp;IF(AND(D136=1,J136=$I$2),G136&amp;", ","")&amp;IF(AND(D137=1,J137=$I$2),G137&amp;", ","")&amp;IF(AND(D138=1,J138=$I$2),G138&amp;", ","")&amp;IF(AND(D139=1,J139=$I$2),G139&amp;", ","")&amp;IF(AND(D140=1,J140=$I$2),G140&amp;", ","")&amp;IF(AND(D141=1,J141=$I$2),G141&amp;", ","")&amp;IF(AND(D142=1,J142=$I$2),G142&amp;", ","")&amp;IF(AND(D143=1,J143=$I$2),G143&amp;", ","")</f>
        <v xml:space="preserve">Laranja, collinari, trinker, blumenberg, </v>
      </c>
      <c r="F128" s="95" t="str">
        <f>IF(AND(SUM(Z128:Z143)=$I$4,NOT(B127="Bye")),"Missing picks from "&amp;B127&amp;" ","")</f>
        <v/>
      </c>
      <c r="G128" s="95" t="str">
        <f>IF(B128=0,"",IF(LEFT(B128,LEN(B$2))=B$2,B$2,C$2))</f>
        <v>Ghem</v>
      </c>
      <c r="H128" s="95" t="str">
        <f t="shared" ref="H128:H143" si="73">IF(L128="","",IF(K128="PTS",IF(LEN(O128)&lt;8,"2-0","2-1"),LEFT(O128,1)&amp;"-"&amp;RIGHT(O128,1)))</f>
        <v>2-0</v>
      </c>
      <c r="I128" s="95" t="str">
        <f ca="1">IF(AND(J128=Singles!$H$21,INDIRECT(ADDRESS(A128+1,6,1))=0,NOT(INDIRECT(ADDRESS(A128+1,5,1))="")),IF(D128=0,IF(H128=H146,"",G128&amp;" "&amp;H128&amp;" v "&amp;H146&amp;", "),G128&amp;" "&amp;H128&amp;" vs. "&amp;G146&amp;" "&amp;H146&amp;", "),"")</f>
        <v xml:space="preserve">Ghem 2-0 v , </v>
      </c>
      <c r="J128" s="97">
        <f>Singles!H$3</f>
        <v>1</v>
      </c>
      <c r="K128" s="95" t="str">
        <f t="shared" ref="K128:K143" si="74">IF(LEN(L128)&gt;0,IF(LEN(O128)&lt;4,"SR","PTS"),"")</f>
        <v>PTS</v>
      </c>
      <c r="L128" s="95" t="str">
        <f t="shared" ref="L128:L143" si="75">TRIM(RIGHT(B128,LEN(B128)-LEN(G128)))</f>
        <v>64 64</v>
      </c>
      <c r="M128" s="95" t="str">
        <f t="shared" ref="M128:M143" si="76">SUBSTITUTE(L128,"-","")</f>
        <v>64 64</v>
      </c>
      <c r="N128" s="95" t="str">
        <f t="shared" ref="N128:N143" si="77">SUBSTITUTE(M128,","," ")</f>
        <v>64 64</v>
      </c>
      <c r="O128" s="95" t="str">
        <f t="shared" ref="O128:O143" si="78">IF(AND(LEN(TRIM(SUBSTITUTE(P128,"/","")))&gt;6,OR(LEFT(TRIM(SUBSTITUTE(P128,"/","")),2)="20",LEFT(TRIM(SUBSTITUTE(P128,"/","")),2)="21")),RIGHT(TRIM(SUBSTITUTE(P128,"/","")),LEN(TRIM(SUBSTITUTE(P128,"/","")))-3),TRIM(SUBSTITUTE(P128,"/","")))</f>
        <v>64 64</v>
      </c>
      <c r="P128" s="95" t="str">
        <f t="shared" ref="P128:P143" si="79">SUBSTITUTE(N128,":","")</f>
        <v>64 64</v>
      </c>
      <c r="Q128" s="95">
        <f>IF(AND(G128=T$2,LEN(G128)&gt;1),1,0)</f>
        <v>0</v>
      </c>
      <c r="R128" s="97">
        <f>Singles!D$3</f>
        <v>1</v>
      </c>
      <c r="S128" s="95">
        <f>IF(AND(H128=H$2,LEN(H128)&gt;1,Q128=1),1,0)</f>
        <v>0</v>
      </c>
      <c r="T128" s="95" t="str">
        <f ca="1">" SR Differences: "&amp;IF(LEN(I128&amp;I129&amp;I130&amp;I131&amp;I132&amp;I133&amp;I134&amp;I135&amp;I136&amp;I137&amp;I138&amp;I139&amp;I140&amp;I141&amp;I142&amp;I143)&lt;3,"None..",I128&amp;I129&amp;I130&amp;I131&amp;I132&amp;I133&amp;I134&amp;I135&amp;I136&amp;I137&amp;I138&amp;I139&amp;I140&amp;I141&amp;I142&amp;I143)</f>
        <v xml:space="preserve"> SR Differences: Ghem 2-0 v , Machado 2-0 v  - , Junqueira 2-0 v , Laranja 2-0 vs. Gaio , PODLIPBIK-CASTILLO 2-0 v , Lindell 2-0 v , Michon 2-0 v , gonzalez 2-0 v , pereira 2-0 v , collinari 2-0 vs. matos , trinker 2-0 vs. giner , galdon 2-0 v , lobkov 2-0 v , santos 2-1 v , blumenberg 2-0 vs. santos , lojda 2-0 v , </v>
      </c>
      <c r="V128" s="97">
        <f>VLOOKUP(1,X128:Y143,2,0)</f>
        <v>1</v>
      </c>
      <c r="X128" s="95">
        <f t="shared" ref="X128:X143" si="80">R128</f>
        <v>1</v>
      </c>
      <c r="Y128" s="95">
        <f t="shared" ref="Y128:Y143" si="81">IF(Q128=1,IF(S128=1,4,3),IF(H128="2-1",2,1))</f>
        <v>1</v>
      </c>
      <c r="Z128" s="95">
        <f t="shared" ref="Z128:Z143" si="82">IF(AND($I$2=J128,B128=0),1,0)</f>
        <v>0</v>
      </c>
    </row>
    <row r="129" spans="1:26">
      <c r="A129" s="95">
        <v>2</v>
      </c>
      <c r="B129" s="95" t="str">
        <f>Singles!H96</f>
        <v>MACHADO 64 64</v>
      </c>
      <c r="C129" s="100" t="str">
        <f>IF(OR(LEFT(B129,LEN(B$3))=B$3,LEFT(B129,LEN(C$3))=C$3,LEN(B129)&lt;2),"","Wrong pick")</f>
        <v/>
      </c>
      <c r="D129" s="95">
        <f t="shared" ca="1" si="72"/>
        <v>0</v>
      </c>
      <c r="G129" s="95" t="str">
        <f>IF(B129=0,"",IF(LEFT(B129,LEN(B$3))=B$3,B$3,C$3))</f>
        <v>Machado</v>
      </c>
      <c r="H129" s="95" t="str">
        <f t="shared" si="73"/>
        <v>2-0</v>
      </c>
      <c r="I129" s="95" t="str">
        <f ca="1">IF(AND(J129=Singles!$H$21,INDIRECT(ADDRESS(A129+1,6,1))=0,NOT(INDIRECT(ADDRESS(A129+1,5,1))="")),IF(D129=0,IF(H129=H147,"",G129&amp;" "&amp;H129&amp;" v "&amp;H147&amp;", "),G129&amp;" "&amp;H129&amp;" vs. "&amp;G147&amp;" "&amp;H147&amp;", "),"")</f>
        <v xml:space="preserve">Machado 2-0 v  - , </v>
      </c>
      <c r="J129" s="97">
        <f>Singles!H$4</f>
        <v>1</v>
      </c>
      <c r="K129" s="95" t="str">
        <f t="shared" si="74"/>
        <v>PTS</v>
      </c>
      <c r="L129" s="95" t="str">
        <f t="shared" si="75"/>
        <v>64 64</v>
      </c>
      <c r="M129" s="95" t="str">
        <f t="shared" si="76"/>
        <v>64 64</v>
      </c>
      <c r="N129" s="95" t="str">
        <f t="shared" si="77"/>
        <v>64 64</v>
      </c>
      <c r="O129" s="95" t="str">
        <f t="shared" si="78"/>
        <v>64 64</v>
      </c>
      <c r="P129" s="95" t="str">
        <f t="shared" si="79"/>
        <v>64 64</v>
      </c>
      <c r="Q129" s="95">
        <f>IF(AND(G129=T$3,LEN(G129)&gt;1),1,0)</f>
        <v>0</v>
      </c>
      <c r="R129" s="97">
        <f>Singles!D$4</f>
        <v>2</v>
      </c>
      <c r="S129" s="95">
        <f>IF(AND(H129=H$3,LEN(H129)&gt;1,Q129=1),1,0)</f>
        <v>0</v>
      </c>
      <c r="T129" s="95" t="str">
        <f ca="1">IF(T130&gt;0,LEFT(E128,LEN(E128)-2)&amp;" vs. "&amp;LEFT(E146,LEN(E146)-2),IF(SUMIF(Singles!$H$3:$H$18,"="&amp;Singles!$H$21,Singles!$I$3:$I$18)=0,"Same winners;",""))</f>
        <v>Laranja, collinari, trinker, blumenberg vs. Gaio, matos, giner, santos</v>
      </c>
      <c r="V129" s="97">
        <f>VLOOKUP(2,X128:Y143,2,0)</f>
        <v>1</v>
      </c>
      <c r="X129" s="95">
        <f t="shared" si="80"/>
        <v>2</v>
      </c>
      <c r="Y129" s="95">
        <f t="shared" si="81"/>
        <v>1</v>
      </c>
      <c r="Z129" s="95">
        <f t="shared" si="82"/>
        <v>0</v>
      </c>
    </row>
    <row r="130" spans="1:26">
      <c r="A130" s="95">
        <v>3</v>
      </c>
      <c r="B130" s="95" t="str">
        <f>Singles!H97</f>
        <v>JUNQUEIRA 64 64</v>
      </c>
      <c r="C130" s="100" t="str">
        <f>IF(OR(LEFT(B130,LEN(B$4))=B$4,LEFT(B130,LEN(C$4))=C$4,LEN(B130)&lt;2),"","Wrong pick")</f>
        <v/>
      </c>
      <c r="D130" s="95">
        <f t="shared" ca="1" si="72"/>
        <v>0</v>
      </c>
      <c r="G130" s="95" t="str">
        <f>IF(B130=0,"",IF(LEFT(B130,LEN(B$4))=B$4,B$4,C$4))</f>
        <v>Junqueira</v>
      </c>
      <c r="H130" s="95" t="str">
        <f t="shared" si="73"/>
        <v>2-0</v>
      </c>
      <c r="I130" s="95" t="str">
        <f ca="1">IF(AND(J130=Singles!$H$21,INDIRECT(ADDRESS(A130+1,6,1))=0,NOT(INDIRECT(ADDRESS(A130+1,5,1))="")),IF(D130=0,IF(H130=H148,"",G130&amp;" "&amp;H130&amp;" v "&amp;H148&amp;", "),G130&amp;" "&amp;H130&amp;" vs. "&amp;G148&amp;" "&amp;H148&amp;", "),"")</f>
        <v xml:space="preserve">Junqueira 2-0 v , </v>
      </c>
      <c r="J130" s="97">
        <f>Singles!H$5</f>
        <v>1</v>
      </c>
      <c r="K130" s="95" t="str">
        <f t="shared" si="74"/>
        <v>PTS</v>
      </c>
      <c r="L130" s="95" t="str">
        <f t="shared" si="75"/>
        <v>64 64</v>
      </c>
      <c r="M130" s="95" t="str">
        <f t="shared" si="76"/>
        <v>64 64</v>
      </c>
      <c r="N130" s="95" t="str">
        <f t="shared" si="77"/>
        <v>64 64</v>
      </c>
      <c r="O130" s="95" t="str">
        <f t="shared" si="78"/>
        <v>64 64</v>
      </c>
      <c r="P130" s="95" t="str">
        <f t="shared" si="79"/>
        <v>64 64</v>
      </c>
      <c r="Q130" s="95">
        <f>IF(AND(G130=T$4,LEN(G130)&gt;1),1,0)</f>
        <v>0</v>
      </c>
      <c r="R130" s="97">
        <f>Singles!D$5</f>
        <v>3</v>
      </c>
      <c r="S130" s="95">
        <f>IF(AND(H130=H$4,LEN(H130)&gt;1,Q130=1),1,0)</f>
        <v>0</v>
      </c>
      <c r="T130" s="101">
        <f ca="1">SUMIF(J128:J143,$I$2,D128:D143)</f>
        <v>4</v>
      </c>
      <c r="V130" s="97">
        <f>VLOOKUP(3,X128:Y143,2,0)</f>
        <v>1</v>
      </c>
      <c r="X130" s="95">
        <f t="shared" si="80"/>
        <v>3</v>
      </c>
      <c r="Y130" s="95">
        <f t="shared" si="81"/>
        <v>1</v>
      </c>
      <c r="Z130" s="95">
        <f t="shared" si="82"/>
        <v>0</v>
      </c>
    </row>
    <row r="131" spans="1:26">
      <c r="A131" s="95">
        <v>4</v>
      </c>
      <c r="B131" s="95" t="str">
        <f>Singles!H98</f>
        <v>LARANJA 64 64 </v>
      </c>
      <c r="C131" s="100" t="str">
        <f>IF(OR(LEFT(B131,LEN(B$5))=B$5,LEFT(B131,LEN(C$5))=C$5,LEN(B131)&lt;2),"","Wrong pick")</f>
        <v/>
      </c>
      <c r="D131" s="95">
        <f t="shared" ca="1" si="72"/>
        <v>1</v>
      </c>
      <c r="G131" s="95" t="str">
        <f>IF(B131=0,"",IF(LEFT(B131,LEN(B$5))=B$5,B$5,C$5))</f>
        <v>Laranja</v>
      </c>
      <c r="H131" s="95" t="str">
        <f t="shared" si="73"/>
        <v>2-0</v>
      </c>
      <c r="I131" s="95" t="str">
        <f ca="1">IF(AND(J131=Singles!$H$21,INDIRECT(ADDRESS(A131+1,6,1))=0,NOT(INDIRECT(ADDRESS(A131+1,5,1))="")),IF(D131=0,IF(H131=H149,"",G131&amp;" "&amp;H131&amp;" v "&amp;H149&amp;", "),G131&amp;" "&amp;H131&amp;" vs. "&amp;G149&amp;" "&amp;H149&amp;", "),"")</f>
        <v xml:space="preserve">Laranja 2-0 vs. Gaio , </v>
      </c>
      <c r="J131" s="97">
        <f>Singles!H$6</f>
        <v>1</v>
      </c>
      <c r="K131" s="95" t="str">
        <f t="shared" si="74"/>
        <v>PTS</v>
      </c>
      <c r="L131" s="95" t="str">
        <f t="shared" si="75"/>
        <v>64 64 </v>
      </c>
      <c r="M131" s="95" t="str">
        <f t="shared" si="76"/>
        <v>64 64 </v>
      </c>
      <c r="N131" s="95" t="str">
        <f t="shared" si="77"/>
        <v>64 64 </v>
      </c>
      <c r="O131" s="95" t="str">
        <f t="shared" si="78"/>
        <v>64 64 </v>
      </c>
      <c r="P131" s="95" t="str">
        <f t="shared" si="79"/>
        <v>64 64 </v>
      </c>
      <c r="Q131" s="95">
        <f>IF(AND(G131=T$5,LEN(G131)&gt;1),1,0)</f>
        <v>0</v>
      </c>
      <c r="R131" s="97">
        <f>Singles!D$6</f>
        <v>4</v>
      </c>
      <c r="S131" s="95">
        <f>IF(AND(H131=H$5,LEN(H131)&gt;1,Q131=1),1,0)</f>
        <v>0</v>
      </c>
      <c r="T131" s="102" t="str">
        <f ca="1">IF(T133&lt;10,"0","")&amp;T133&amp;":"&amp;IF(T134&lt;10,"0","")&amp;T134&amp;" | [b]"&amp;IF(LEN(U131)&gt;0,U131,T127&amp;"[/b] vs. [b]"&amp;T145&amp;"[/b]"&amp;IF(Singles!$H$21&gt;1," (SR "&amp;U133&amp;":"&amp;U134&amp;")","")&amp;" - "&amp;IF(COUNTIF(C128:C161,"=Wrong Pick")&gt;0,"Incorrect pick, probably a spelling mistake",IF(AND(F128="",F146=""),T129&amp;IF(AND(OR(AND(Singles!$H$20&gt;1,Singles!$H$21&lt;Singles!$H$20),MOD(T130+T133+T134,2)=0),NOT(Singles!$H$23="No")),LEFT(T128,LEN(T128)-2),""),F128&amp;F146)))</f>
        <v xml:space="preserve">00:00 | [b](ALT) Broseghini (BRA)[/b] vs. [b](ALT) AeronW (ROU)[/b] - Laranja, collinari, trinker, blumenberg vs. Gaio, matos, giner, santos SR Differences: Ghem 2-0 v , Machado 2-0 v  - , Junqueira 2-0 v , Laranja 2-0 vs. Gaio , PODLIPBIK-CASTILLO 2-0 v , Lindell 2-0 v , Michon 2-0 v , gonzalez 2-0 v , pereira 2-0 v , collinari 2-0 vs. matos , trinker 2-0 vs. giner , galdon 2-0 v , lobkov 2-0 v , santos 2-1 v , blumenberg 2-0 vs. santos , lojda 2-0 v </v>
      </c>
      <c r="U131" s="95" t="str">
        <f>IF(B127="Bye","Bye[/b] vs. [b][color=blue]"&amp;T145&amp;"[/color][/b]",IF(B145="Bye","[color=blue]"&amp;T127&amp;"[/color][/b] vs. [b]Bye[/b]",""))</f>
        <v/>
      </c>
      <c r="V131" s="97">
        <f>VLOOKUP(4,X128:Y143,2,0)</f>
        <v>1</v>
      </c>
      <c r="X131" s="95">
        <f t="shared" si="80"/>
        <v>4</v>
      </c>
      <c r="Y131" s="95">
        <f t="shared" si="81"/>
        <v>1</v>
      </c>
      <c r="Z131" s="95">
        <f t="shared" si="82"/>
        <v>0</v>
      </c>
    </row>
    <row r="132" spans="1:26">
      <c r="A132" s="95">
        <v>5</v>
      </c>
      <c r="B132" s="95" t="str">
        <f>Singles!H99</f>
        <v>PODLIPBIK-CASTILLO 64 64</v>
      </c>
      <c r="C132" s="100" t="str">
        <f>IF(OR(LEFT(B132,LEN(B$6))=B$6,LEFT(B132,LEN(C$6))=C$6,LEN(B132)&lt;2),"","Wrong pick")</f>
        <v/>
      </c>
      <c r="D132" s="95">
        <f t="shared" ca="1" si="72"/>
        <v>0</v>
      </c>
      <c r="G132" s="95" t="str">
        <f>IF(B132=0,"",IF(LEFT(B132,LEN(B$6))=B$6,B$6,C$6))</f>
        <v>PODLIPBIK-CASTILLO</v>
      </c>
      <c r="H132" s="95" t="str">
        <f t="shared" si="73"/>
        <v>2-0</v>
      </c>
      <c r="I132" s="95" t="str">
        <f ca="1">IF(AND(J132=Singles!$H$21,INDIRECT(ADDRESS(A132+1,6,1))=0,NOT(INDIRECT(ADDRESS(A132+1,5,1))="")),IF(D132=0,IF(H132=H150,"",G132&amp;" "&amp;H132&amp;" v "&amp;H150&amp;", "),G132&amp;" "&amp;H132&amp;" vs. "&amp;G150&amp;" "&amp;H150&amp;", "),"")</f>
        <v xml:space="preserve">PODLIPBIK-CASTILLO 2-0 v , </v>
      </c>
      <c r="J132" s="97">
        <f>Singles!H$7</f>
        <v>1</v>
      </c>
      <c r="K132" s="95" t="str">
        <f t="shared" si="74"/>
        <v>PTS</v>
      </c>
      <c r="L132" s="95" t="str">
        <f t="shared" si="75"/>
        <v>64 64</v>
      </c>
      <c r="M132" s="95" t="str">
        <f t="shared" si="76"/>
        <v>64 64</v>
      </c>
      <c r="N132" s="95" t="str">
        <f t="shared" si="77"/>
        <v>64 64</v>
      </c>
      <c r="O132" s="95" t="str">
        <f t="shared" si="78"/>
        <v>64 64</v>
      </c>
      <c r="P132" s="95" t="str">
        <f t="shared" si="79"/>
        <v>64 64</v>
      </c>
      <c r="Q132" s="95">
        <f>IF(AND(G132=T$6,LEN(G132)&gt;1),1,0)</f>
        <v>0</v>
      </c>
      <c r="R132" s="97">
        <f>Singles!D$7</f>
        <v>5</v>
      </c>
      <c r="S132" s="95">
        <f>IF(AND(H132=H$6,LEN(H132)&gt;1,Q132=1),1,0)</f>
        <v>0</v>
      </c>
      <c r="T132" s="103" t="str">
        <f>IF(Singles!$H$22=$F$18,IF(T133&gt;T134,B127,IF(T133&lt;T134,B145,IF(U133&gt;U134,B127,IF(U133&lt;U134,B145,T136)))),"No decision yet")</f>
        <v>No decision yet</v>
      </c>
      <c r="U132" s="104" t="str">
        <f>IF(T133&lt;10,"0","")&amp;T133&amp;":"&amp;IF(T134&lt;10,"0","")&amp;T134&amp;" | "&amp;IF(AND(A127&gt;0,A127&lt;33,B127=T132),"[b][color=Blue]"&amp;T127&amp;"[/color][/b]",IF(B127=T132,"[color=Blue]"&amp;T127&amp;"[/color]",IF(AND(A127&gt;0,A127&lt;33),"[b]"&amp;T127&amp;"[/b]",T127)))&amp;" vs. "&amp;IF(AND(A145&gt;0,A145&lt;33,B145=T132),"[b][color=Blue]"&amp;T145&amp;"[/color][/b]",IF(B145=T132,"[color=Blue]"&amp;T145&amp;"[/color]",IF(AND(A145&gt;0,A145&lt;33),"[b]"&amp;T145&amp;"[/b]",T145)))&amp;IF(OR(Singles!$B$40="yes",T133=T134)," #SRs: "&amp;U133&amp;"-"&amp;U134,"")&amp;IF(AND(T133=T134,U133=U134,U136&lt;17,Singles!$H$22=$F$18),", Shootout: SR"&amp;U136,"")</f>
        <v>00:00 | (ALT) Broseghini (BRA) vs. (ALT) AeronW (ROU) #SRs: 0-0</v>
      </c>
      <c r="V132" s="97">
        <f>VLOOKUP(5,X128:Y143,2,0)</f>
        <v>1</v>
      </c>
      <c r="X132" s="95">
        <f t="shared" si="80"/>
        <v>5</v>
      </c>
      <c r="Y132" s="95">
        <f t="shared" si="81"/>
        <v>1</v>
      </c>
      <c r="Z132" s="95">
        <f t="shared" si="82"/>
        <v>0</v>
      </c>
    </row>
    <row r="133" spans="1:26">
      <c r="A133" s="95">
        <v>6</v>
      </c>
      <c r="B133" s="95" t="str">
        <f>Singles!H100</f>
        <v>LINDELL 64 64 </v>
      </c>
      <c r="C133" s="100" t="str">
        <f>IF(OR(LEFT(B133,LEN(B$7))=B$7,LEFT(B133,LEN(C$7))=C$7,LEN(B133)&lt;2),"","Wrong pick")</f>
        <v/>
      </c>
      <c r="D133" s="95">
        <f t="shared" ca="1" si="72"/>
        <v>0</v>
      </c>
      <c r="G133" s="95" t="str">
        <f>IF(B133=0,"",IF(LEFT(B133,LEN(B$7))=B$7,B$7,C$7))</f>
        <v>Lindell</v>
      </c>
      <c r="H133" s="95" t="str">
        <f t="shared" si="73"/>
        <v>2-0</v>
      </c>
      <c r="I133" s="95" t="str">
        <f ca="1">IF(AND(J133=Singles!$H$21,INDIRECT(ADDRESS(A133+1,6,1))=0,NOT(INDIRECT(ADDRESS(A133+1,5,1))="")),IF(D133=0,IF(H133=H151,"",G133&amp;" "&amp;H133&amp;" v "&amp;H151&amp;", "),G133&amp;" "&amp;H133&amp;" vs. "&amp;G151&amp;" "&amp;H151&amp;", "),"")</f>
        <v xml:space="preserve">Lindell 2-0 v , </v>
      </c>
      <c r="J133" s="97">
        <f>Singles!H$8</f>
        <v>1</v>
      </c>
      <c r="K133" s="95" t="str">
        <f t="shared" si="74"/>
        <v>PTS</v>
      </c>
      <c r="L133" s="95" t="str">
        <f t="shared" si="75"/>
        <v>64 64 </v>
      </c>
      <c r="M133" s="95" t="str">
        <f t="shared" si="76"/>
        <v>64 64 </v>
      </c>
      <c r="N133" s="95" t="str">
        <f t="shared" si="77"/>
        <v>64 64 </v>
      </c>
      <c r="O133" s="95" t="str">
        <f t="shared" si="78"/>
        <v>64 64 </v>
      </c>
      <c r="P133" s="95" t="str">
        <f t="shared" si="79"/>
        <v>64 64 </v>
      </c>
      <c r="Q133" s="95">
        <f>IF(AND(G133=T$7,LEN(G133)&gt;1),1,0)</f>
        <v>0</v>
      </c>
      <c r="R133" s="97">
        <f>Singles!D$8</f>
        <v>6</v>
      </c>
      <c r="S133" s="95">
        <f>IF(AND(H133=H$7,LEN(H133)&gt;1,Q133=1),1,0)</f>
        <v>0</v>
      </c>
      <c r="T133" s="105">
        <f>SUM(Q128:Q143)</f>
        <v>0</v>
      </c>
      <c r="U133" s="97">
        <f>SUM(S128:S143)</f>
        <v>0</v>
      </c>
      <c r="V133" s="97">
        <f>VLOOKUP(6,X128:Y143,2,0)</f>
        <v>1</v>
      </c>
      <c r="X133" s="95">
        <f t="shared" si="80"/>
        <v>6</v>
      </c>
      <c r="Y133" s="95">
        <f t="shared" si="81"/>
        <v>1</v>
      </c>
      <c r="Z133" s="95">
        <f t="shared" si="82"/>
        <v>0</v>
      </c>
    </row>
    <row r="134" spans="1:26">
      <c r="A134" s="95">
        <v>7</v>
      </c>
      <c r="B134" s="95" t="str">
        <f>Singles!H101</f>
        <v>MICHON 64 64 </v>
      </c>
      <c r="C134" s="100" t="str">
        <f>IF(OR(LEFT(B134,LEN(B$8))=B$8,LEFT(B134,LEN(C$8))=C$8,LEN(B134)&lt;2),"","Wrong pick")</f>
        <v/>
      </c>
      <c r="D134" s="95">
        <f t="shared" ca="1" si="72"/>
        <v>0</v>
      </c>
      <c r="G134" s="95" t="str">
        <f>IF(B134=0,"",IF(LEFT(B134,LEN(B$8))=B$8,B$8,C$8))</f>
        <v>Michon</v>
      </c>
      <c r="H134" s="95" t="str">
        <f t="shared" si="73"/>
        <v>2-0</v>
      </c>
      <c r="I134" s="95" t="str">
        <f ca="1">IF(AND(J134=Singles!$H$21,INDIRECT(ADDRESS(A134+1,6,1))=0,NOT(INDIRECT(ADDRESS(A134+1,5,1))="")),IF(D134=0,IF(H134=H152,"",G134&amp;" "&amp;H134&amp;" v "&amp;H152&amp;", "),G134&amp;" "&amp;H134&amp;" vs. "&amp;G152&amp;" "&amp;H152&amp;", "),"")</f>
        <v xml:space="preserve">Michon 2-0 v , </v>
      </c>
      <c r="J134" s="97">
        <f>Singles!H$9</f>
        <v>1</v>
      </c>
      <c r="K134" s="95" t="str">
        <f t="shared" si="74"/>
        <v>PTS</v>
      </c>
      <c r="L134" s="95" t="str">
        <f t="shared" si="75"/>
        <v>64 64 </v>
      </c>
      <c r="M134" s="95" t="str">
        <f t="shared" si="76"/>
        <v>64 64 </v>
      </c>
      <c r="N134" s="95" t="str">
        <f t="shared" si="77"/>
        <v>64 64 </v>
      </c>
      <c r="O134" s="95" t="str">
        <f t="shared" si="78"/>
        <v>64 64 </v>
      </c>
      <c r="P134" s="95" t="str">
        <f t="shared" si="79"/>
        <v>64 64 </v>
      </c>
      <c r="Q134" s="95">
        <f>IF(AND(G134=T$8,LEN(G134)&gt;1),1,0)</f>
        <v>0</v>
      </c>
      <c r="R134" s="97">
        <f>Singles!D$9</f>
        <v>7</v>
      </c>
      <c r="S134" s="95">
        <f>IF(AND(H134=H$8,LEN(H134)&gt;1,Q134=1),1,0)</f>
        <v>0</v>
      </c>
      <c r="T134" s="105">
        <f>SUM(Q146:Q161)</f>
        <v>0</v>
      </c>
      <c r="U134" s="97">
        <f>SUM(S146:S161)</f>
        <v>0</v>
      </c>
      <c r="V134" s="97">
        <f>VLOOKUP(7,X128:Y143,2,0)</f>
        <v>1</v>
      </c>
      <c r="X134" s="95">
        <f t="shared" si="80"/>
        <v>7</v>
      </c>
      <c r="Y134" s="95">
        <f t="shared" si="81"/>
        <v>1</v>
      </c>
      <c r="Z134" s="95">
        <f t="shared" si="82"/>
        <v>0</v>
      </c>
    </row>
    <row r="135" spans="1:26">
      <c r="A135" s="95">
        <v>8</v>
      </c>
      <c r="B135" s="95" t="str">
        <f>Singles!H102</f>
        <v>GONZALEZ 64 64</v>
      </c>
      <c r="C135" s="100" t="str">
        <f>IF(OR(LEFT(B135,LEN(B$9))=B$9,LEFT(B135,LEN(C$9))=C$9,LEN(B135)&lt;2),"","Wrong pick")</f>
        <v/>
      </c>
      <c r="D135" s="95">
        <f t="shared" ca="1" si="72"/>
        <v>0</v>
      </c>
      <c r="G135" s="95" t="str">
        <f>IF(B135=0,"",IF(LEFT(B135,LEN(B$9))=B$9,B$9,C$9))</f>
        <v>gonzalez</v>
      </c>
      <c r="H135" s="95" t="str">
        <f t="shared" si="73"/>
        <v>2-0</v>
      </c>
      <c r="I135" s="95" t="str">
        <f ca="1">IF(AND(J135=Singles!$H$21,INDIRECT(ADDRESS(A135+1,6,1))=0,NOT(INDIRECT(ADDRESS(A135+1,5,1))="")),IF(D135=0,IF(H135=H153,"",G135&amp;" "&amp;H135&amp;" v "&amp;H153&amp;", "),G135&amp;" "&amp;H135&amp;" vs. "&amp;G153&amp;" "&amp;H153&amp;", "),"")</f>
        <v xml:space="preserve">gonzalez 2-0 v , </v>
      </c>
      <c r="J135" s="97">
        <f>Singles!H$10</f>
        <v>1</v>
      </c>
      <c r="K135" s="95" t="str">
        <f t="shared" si="74"/>
        <v>PTS</v>
      </c>
      <c r="L135" s="95" t="str">
        <f t="shared" si="75"/>
        <v>64 64</v>
      </c>
      <c r="M135" s="95" t="str">
        <f t="shared" si="76"/>
        <v>64 64</v>
      </c>
      <c r="N135" s="95" t="str">
        <f t="shared" si="77"/>
        <v>64 64</v>
      </c>
      <c r="O135" s="95" t="str">
        <f t="shared" si="78"/>
        <v>64 64</v>
      </c>
      <c r="P135" s="95" t="str">
        <f t="shared" si="79"/>
        <v>64 64</v>
      </c>
      <c r="Q135" s="95">
        <f>IF(AND(G135=T$9,LEN(G135)&gt;1),1,0)</f>
        <v>0</v>
      </c>
      <c r="R135" s="97">
        <f>Singles!D$10</f>
        <v>8</v>
      </c>
      <c r="S135" s="95">
        <f>IF(AND(H135=H$9,LEN(H135)&gt;1,Q135=1),1,0)</f>
        <v>0</v>
      </c>
      <c r="V135" s="97">
        <f>VLOOKUP(8,X128:Y143,2,0)</f>
        <v>1</v>
      </c>
      <c r="X135" s="95">
        <f t="shared" si="80"/>
        <v>8</v>
      </c>
      <c r="Y135" s="95">
        <f t="shared" si="81"/>
        <v>1</v>
      </c>
      <c r="Z135" s="95">
        <f t="shared" si="82"/>
        <v>0</v>
      </c>
    </row>
    <row r="136" spans="1:26">
      <c r="A136" s="95">
        <v>9</v>
      </c>
      <c r="B136" s="95" t="str">
        <f>Singles!H103</f>
        <v>PEREIRA 64 64 </v>
      </c>
      <c r="C136" s="100" t="str">
        <f>IF(OR(LEFT(B136,LEN(B$10))=B$10,LEFT(B136,LEN(C$10))=C$10,LEN(B136)&lt;2),"","Wrong pick")</f>
        <v/>
      </c>
      <c r="D136" s="95">
        <f t="shared" ca="1" si="72"/>
        <v>0</v>
      </c>
      <c r="G136" s="95" t="str">
        <f>IF(B136=0,"",IF(LEFT(B136,LEN(B$10))=B$10,B$10,C$10))</f>
        <v>pereira</v>
      </c>
      <c r="H136" s="95" t="str">
        <f t="shared" si="73"/>
        <v>2-0</v>
      </c>
      <c r="I136" s="95" t="str">
        <f ca="1">IF(AND(J136=Singles!$H$21,INDIRECT(ADDRESS(A136+1,6,1))=0,NOT(INDIRECT(ADDRESS(A136+1,5,1))="")),IF(D136=0,IF(H136=H154,"",G136&amp;" "&amp;H136&amp;" v "&amp;H154&amp;", "),G136&amp;" "&amp;H136&amp;" vs. "&amp;G154&amp;" "&amp;H154&amp;", "),"")</f>
        <v xml:space="preserve">pereira 2-0 v , </v>
      </c>
      <c r="J136" s="97">
        <f>Singles!H$11</f>
        <v>1</v>
      </c>
      <c r="K136" s="95" t="str">
        <f t="shared" si="74"/>
        <v>PTS</v>
      </c>
      <c r="L136" s="95" t="str">
        <f t="shared" si="75"/>
        <v>64 64 </v>
      </c>
      <c r="M136" s="95" t="str">
        <f t="shared" si="76"/>
        <v>64 64 </v>
      </c>
      <c r="N136" s="95" t="str">
        <f t="shared" si="77"/>
        <v>64 64 </v>
      </c>
      <c r="O136" s="95" t="str">
        <f t="shared" si="78"/>
        <v>64 64 </v>
      </c>
      <c r="P136" s="95" t="str">
        <f t="shared" si="79"/>
        <v>64 64 </v>
      </c>
      <c r="Q136" s="95">
        <f>IF(AND(G136=T$10,LEN(G136)&gt;1),1,0)</f>
        <v>0</v>
      </c>
      <c r="R136" s="97">
        <f>Singles!D$11</f>
        <v>9</v>
      </c>
      <c r="S136" s="95">
        <f>IF(AND(H136=H$10,LEN(H136)&gt;1,Q136=1),1,0)</f>
        <v>0</v>
      </c>
      <c r="T136" s="95" t="str">
        <f>VLOOKUP("Winner",T146:U162,2,0)</f>
        <v>Broseghini</v>
      </c>
      <c r="U136" s="95">
        <f>VLOOKUP(T136,U146:W162,3,0)</f>
        <v>14</v>
      </c>
      <c r="V136" s="97">
        <f>VLOOKUP(9,X128:Y143,2,0)</f>
        <v>1</v>
      </c>
      <c r="X136" s="95">
        <f t="shared" si="80"/>
        <v>9</v>
      </c>
      <c r="Y136" s="95">
        <f t="shared" si="81"/>
        <v>1</v>
      </c>
      <c r="Z136" s="95">
        <f t="shared" si="82"/>
        <v>0</v>
      </c>
    </row>
    <row r="137" spans="1:26">
      <c r="A137" s="95">
        <v>10</v>
      </c>
      <c r="B137" s="95" t="str">
        <f>Singles!H104</f>
        <v>COLLINARI 64 64 </v>
      </c>
      <c r="C137" s="100" t="str">
        <f>IF(OR(LEFT(B137,LEN(B$11))=B$11,LEFT(B137,LEN(C$11))=C$11,LEN(B137)&lt;2),"","Wrong pick")</f>
        <v/>
      </c>
      <c r="D137" s="95">
        <f t="shared" ca="1" si="72"/>
        <v>1</v>
      </c>
      <c r="G137" s="95" t="str">
        <f>IF(B137=0,"",IF(LEFT(B137,LEN(B$11))=B$11,B$11,C$11))</f>
        <v>collinari</v>
      </c>
      <c r="H137" s="95" t="str">
        <f t="shared" si="73"/>
        <v>2-0</v>
      </c>
      <c r="I137" s="95" t="str">
        <f ca="1">IF(AND(J137=Singles!$H$21,INDIRECT(ADDRESS(A137+1,6,1))=0,NOT(INDIRECT(ADDRESS(A137+1,5,1))="")),IF(D137=0,IF(H137=H155,"",G137&amp;" "&amp;H137&amp;" v "&amp;H155&amp;", "),G137&amp;" "&amp;H137&amp;" vs. "&amp;G155&amp;" "&amp;H155&amp;", "),"")</f>
        <v xml:space="preserve">collinari 2-0 vs. matos , </v>
      </c>
      <c r="J137" s="97">
        <f>Singles!H$12</f>
        <v>1</v>
      </c>
      <c r="K137" s="95" t="str">
        <f t="shared" si="74"/>
        <v>PTS</v>
      </c>
      <c r="L137" s="95" t="str">
        <f t="shared" si="75"/>
        <v>64 64 </v>
      </c>
      <c r="M137" s="95" t="str">
        <f t="shared" si="76"/>
        <v>64 64 </v>
      </c>
      <c r="N137" s="95" t="str">
        <f t="shared" si="77"/>
        <v>64 64 </v>
      </c>
      <c r="O137" s="95" t="str">
        <f t="shared" si="78"/>
        <v>64 64 </v>
      </c>
      <c r="P137" s="95" t="str">
        <f t="shared" si="79"/>
        <v>64 64 </v>
      </c>
      <c r="Q137" s="95">
        <f>IF(AND(G137=T$11,LEN(G137)&gt;1),1,0)</f>
        <v>0</v>
      </c>
      <c r="R137" s="97">
        <f>Singles!D$12</f>
        <v>10</v>
      </c>
      <c r="S137" s="95">
        <f>IF(AND(H137=H$11,LEN(H137)&gt;1,Q137=1),1,0)</f>
        <v>0</v>
      </c>
      <c r="V137" s="97">
        <f>VLOOKUP(10,X128:Y143,2,0)</f>
        <v>1</v>
      </c>
      <c r="X137" s="95">
        <f t="shared" si="80"/>
        <v>10</v>
      </c>
      <c r="Y137" s="95">
        <f t="shared" si="81"/>
        <v>1</v>
      </c>
      <c r="Z137" s="95">
        <f t="shared" si="82"/>
        <v>0</v>
      </c>
    </row>
    <row r="138" spans="1:26">
      <c r="A138" s="95">
        <v>11</v>
      </c>
      <c r="B138" s="95" t="str">
        <f>Singles!H105</f>
        <v>TRINKER 64 64</v>
      </c>
      <c r="C138" s="100" t="str">
        <f>IF(OR(LEFT(B138,LEN(B$12))=B$12,LEFT(B138,LEN(C$12))=C$12,LEN(B138)&lt;2),"","Wrong pick")</f>
        <v/>
      </c>
      <c r="D138" s="95">
        <f t="shared" ca="1" si="72"/>
        <v>1</v>
      </c>
      <c r="G138" s="95" t="str">
        <f>IF(B138=0,"",IF(LEFT(B138,LEN(B$12))=B$12,B$12,C$12))</f>
        <v>trinker</v>
      </c>
      <c r="H138" s="95" t="str">
        <f t="shared" si="73"/>
        <v>2-0</v>
      </c>
      <c r="I138" s="95" t="str">
        <f ca="1">IF(AND(J138=Singles!$H$21,INDIRECT(ADDRESS(A138+1,6,1))=0,NOT(INDIRECT(ADDRESS(A138+1,5,1))="")),IF(D138=0,IF(H138=H156,"",G138&amp;" "&amp;H138&amp;" v "&amp;H156&amp;", "),G138&amp;" "&amp;H138&amp;" vs. "&amp;G156&amp;" "&amp;H156&amp;", "),"")</f>
        <v xml:space="preserve">trinker 2-0 vs. giner , </v>
      </c>
      <c r="J138" s="97">
        <f>Singles!H$13</f>
        <v>1</v>
      </c>
      <c r="K138" s="95" t="str">
        <f t="shared" si="74"/>
        <v>PTS</v>
      </c>
      <c r="L138" s="95" t="str">
        <f t="shared" si="75"/>
        <v>64 64</v>
      </c>
      <c r="M138" s="95" t="str">
        <f t="shared" si="76"/>
        <v>64 64</v>
      </c>
      <c r="N138" s="95" t="str">
        <f t="shared" si="77"/>
        <v>64 64</v>
      </c>
      <c r="O138" s="95" t="str">
        <f t="shared" si="78"/>
        <v>64 64</v>
      </c>
      <c r="P138" s="95" t="str">
        <f t="shared" si="79"/>
        <v>64 64</v>
      </c>
      <c r="Q138" s="95">
        <f>IF(AND(G138=T$12,LEN(G138)&gt;1),1,0)</f>
        <v>0</v>
      </c>
      <c r="R138" s="97">
        <f>Singles!D$13</f>
        <v>11</v>
      </c>
      <c r="S138" s="95">
        <f>IF(AND(H138=H$12,LEN(H138)&gt;1,Q138=1),1,0)</f>
        <v>0</v>
      </c>
      <c r="V138" s="97">
        <f>VLOOKUP(11,X128:Y143,2,0)</f>
        <v>1</v>
      </c>
      <c r="X138" s="95">
        <f t="shared" si="80"/>
        <v>11</v>
      </c>
      <c r="Y138" s="95">
        <f t="shared" si="81"/>
        <v>1</v>
      </c>
      <c r="Z138" s="95">
        <f t="shared" si="82"/>
        <v>0</v>
      </c>
    </row>
    <row r="139" spans="1:26">
      <c r="A139" s="95">
        <v>12</v>
      </c>
      <c r="B139" s="95" t="str">
        <f>Singles!H106</f>
        <v>GALDON 64 64</v>
      </c>
      <c r="C139" s="100" t="str">
        <f>IF(OR(LEFT(B139,LEN(B$13))=B$13,LEFT(B139,LEN(C$13))=C$13,LEN(B139)&lt;2),"","Wrong pick")</f>
        <v/>
      </c>
      <c r="D139" s="95">
        <f t="shared" ca="1" si="72"/>
        <v>0</v>
      </c>
      <c r="G139" s="95" t="str">
        <f>IF(B139=0,"",IF(LEFT(B139,LEN(B$13))=B$13,B$13,C$13))</f>
        <v>galdon</v>
      </c>
      <c r="H139" s="95" t="str">
        <f t="shared" si="73"/>
        <v>2-0</v>
      </c>
      <c r="I139" s="95" t="str">
        <f ca="1">IF(AND(J139=Singles!$H$21,INDIRECT(ADDRESS(A139+1,6,1))=0,NOT(INDIRECT(ADDRESS(A139+1,5,1))="")),IF(D139=0,IF(H139=H157,"",G139&amp;" "&amp;H139&amp;" v "&amp;H157&amp;", "),G139&amp;" "&amp;H139&amp;" vs. "&amp;G157&amp;" "&amp;H157&amp;", "),"")</f>
        <v xml:space="preserve">galdon 2-0 v , </v>
      </c>
      <c r="J139" s="97">
        <f>Singles!H$14</f>
        <v>1</v>
      </c>
      <c r="K139" s="95" t="str">
        <f t="shared" si="74"/>
        <v>PTS</v>
      </c>
      <c r="L139" s="95" t="str">
        <f t="shared" si="75"/>
        <v>64 64</v>
      </c>
      <c r="M139" s="95" t="str">
        <f t="shared" si="76"/>
        <v>64 64</v>
      </c>
      <c r="N139" s="95" t="str">
        <f t="shared" si="77"/>
        <v>64 64</v>
      </c>
      <c r="O139" s="95" t="str">
        <f t="shared" si="78"/>
        <v>64 64</v>
      </c>
      <c r="P139" s="95" t="str">
        <f t="shared" si="79"/>
        <v>64 64</v>
      </c>
      <c r="Q139" s="95">
        <f>IF(AND(G139=T$13,LEN(G139)&gt;1),1,0)</f>
        <v>0</v>
      </c>
      <c r="R139" s="97">
        <f>Singles!D$14</f>
        <v>12</v>
      </c>
      <c r="S139" s="95">
        <f>IF(AND(H139=H$13,LEN(H139)&gt;1,Q139=1),1,0)</f>
        <v>0</v>
      </c>
      <c r="V139" s="97">
        <f>VLOOKUP(12,X128:Y143,2,0)</f>
        <v>1</v>
      </c>
      <c r="X139" s="95">
        <f t="shared" si="80"/>
        <v>12</v>
      </c>
      <c r="Y139" s="95">
        <f t="shared" si="81"/>
        <v>1</v>
      </c>
      <c r="Z139" s="95">
        <f t="shared" si="82"/>
        <v>0</v>
      </c>
    </row>
    <row r="140" spans="1:26">
      <c r="A140" s="95">
        <v>13</v>
      </c>
      <c r="B140" s="95" t="str">
        <f>Singles!H107</f>
        <v>LOBKOV 64 64</v>
      </c>
      <c r="C140" s="100" t="str">
        <f>IF(OR(LEFT(B140,LEN(B$14))=B$14,LEFT(B140,LEN(C$14))=C$14,LEN(B140)&lt;2),"","Wrong pick")</f>
        <v/>
      </c>
      <c r="D140" s="95">
        <f t="shared" ca="1" si="72"/>
        <v>0</v>
      </c>
      <c r="G140" s="95" t="str">
        <f>IF(B140=0,"",IF(LEFT(B140,LEN(B$14))=B$14,B$14,C$14))</f>
        <v>lobkov</v>
      </c>
      <c r="H140" s="95" t="str">
        <f t="shared" si="73"/>
        <v>2-0</v>
      </c>
      <c r="I140" s="95" t="str">
        <f ca="1">IF(AND(J140=Singles!$H$21,INDIRECT(ADDRESS(A140+1,6,1))=0,NOT(INDIRECT(ADDRESS(A140+1,5,1))="")),IF(D140=0,IF(H140=H158,"",G140&amp;" "&amp;H140&amp;" v "&amp;H158&amp;", "),G140&amp;" "&amp;H140&amp;" vs. "&amp;G158&amp;" "&amp;H158&amp;", "),"")</f>
        <v xml:space="preserve">lobkov 2-0 v , </v>
      </c>
      <c r="J140" s="97">
        <f>Singles!H$15</f>
        <v>1</v>
      </c>
      <c r="K140" s="95" t="str">
        <f t="shared" si="74"/>
        <v>PTS</v>
      </c>
      <c r="L140" s="95" t="str">
        <f t="shared" si="75"/>
        <v>64 64</v>
      </c>
      <c r="M140" s="95" t="str">
        <f t="shared" si="76"/>
        <v>64 64</v>
      </c>
      <c r="N140" s="95" t="str">
        <f t="shared" si="77"/>
        <v>64 64</v>
      </c>
      <c r="O140" s="95" t="str">
        <f t="shared" si="78"/>
        <v>64 64</v>
      </c>
      <c r="P140" s="95" t="str">
        <f t="shared" si="79"/>
        <v>64 64</v>
      </c>
      <c r="Q140" s="95">
        <f>IF(AND(G140=T$14,LEN(G140)&gt;1),1,0)</f>
        <v>0</v>
      </c>
      <c r="R140" s="97">
        <f>Singles!D$15</f>
        <v>13</v>
      </c>
      <c r="S140" s="95">
        <f>IF(AND(H140=H$14,LEN(H140)&gt;1,Q140=1),1,0)</f>
        <v>0</v>
      </c>
      <c r="V140" s="97">
        <f>VLOOKUP(13,X128:Y143,2,0)</f>
        <v>1</v>
      </c>
      <c r="X140" s="95">
        <f t="shared" si="80"/>
        <v>13</v>
      </c>
      <c r="Y140" s="95">
        <f t="shared" si="81"/>
        <v>1</v>
      </c>
      <c r="Z140" s="95">
        <f t="shared" si="82"/>
        <v>0</v>
      </c>
    </row>
    <row r="141" spans="1:26">
      <c r="A141" s="95">
        <v>14</v>
      </c>
      <c r="B141" s="95" t="str">
        <f>Singles!H108</f>
        <v>SANTOS 64 26 64</v>
      </c>
      <c r="C141" s="100" t="str">
        <f>IF(OR(LEFT(B141,LEN(B$15))=B$15,LEFT(B141,LEN(C$15))=C$15,LEN(B141)&lt;2),"","Wrong pick")</f>
        <v/>
      </c>
      <c r="D141" s="95">
        <f t="shared" ca="1" si="72"/>
        <v>0</v>
      </c>
      <c r="G141" s="95" t="str">
        <f>IF(B141=0,"",IF(LEFT(B141,LEN(B$15))=B$15,B$15,C$15))</f>
        <v>santos</v>
      </c>
      <c r="H141" s="95" t="str">
        <f t="shared" si="73"/>
        <v>2-1</v>
      </c>
      <c r="I141" s="95" t="str">
        <f ca="1">IF(AND(J141=Singles!$H$21,INDIRECT(ADDRESS(A141+1,6,1))=0,NOT(INDIRECT(ADDRESS(A141+1,5,1))="")),IF(D141=0,IF(H141=H159,"",G141&amp;" "&amp;H141&amp;" v "&amp;H159&amp;", "),G141&amp;" "&amp;H141&amp;" vs. "&amp;G159&amp;" "&amp;H159&amp;", "),"")</f>
        <v xml:space="preserve">santos 2-1 v , </v>
      </c>
      <c r="J141" s="97">
        <f>Singles!H$16</f>
        <v>1</v>
      </c>
      <c r="K141" s="95" t="str">
        <f t="shared" si="74"/>
        <v>PTS</v>
      </c>
      <c r="L141" s="95" t="str">
        <f t="shared" si="75"/>
        <v>64 26 64</v>
      </c>
      <c r="M141" s="95" t="str">
        <f t="shared" si="76"/>
        <v>64 26 64</v>
      </c>
      <c r="N141" s="95" t="str">
        <f t="shared" si="77"/>
        <v>64 26 64</v>
      </c>
      <c r="O141" s="95" t="str">
        <f t="shared" si="78"/>
        <v>64 26 64</v>
      </c>
      <c r="P141" s="95" t="str">
        <f t="shared" si="79"/>
        <v>64 26 64</v>
      </c>
      <c r="Q141" s="95">
        <f>IF(AND(G141=T$15,LEN(G141)&gt;1),1,0)</f>
        <v>0</v>
      </c>
      <c r="R141" s="97">
        <f>Singles!D$16</f>
        <v>14</v>
      </c>
      <c r="S141" s="95">
        <f>IF(AND(H141=H$15,LEN(H141)&gt;1,Q141=1),1,0)</f>
        <v>0</v>
      </c>
      <c r="V141" s="97">
        <f>VLOOKUP(14,X128:Y143,2,0)</f>
        <v>2</v>
      </c>
      <c r="X141" s="95">
        <f t="shared" si="80"/>
        <v>14</v>
      </c>
      <c r="Y141" s="95">
        <f t="shared" si="81"/>
        <v>2</v>
      </c>
      <c r="Z141" s="95">
        <f t="shared" si="82"/>
        <v>0</v>
      </c>
    </row>
    <row r="142" spans="1:26">
      <c r="A142" s="95">
        <v>15</v>
      </c>
      <c r="B142" s="95" t="str">
        <f>Singles!H109</f>
        <v>BLUMENBERG 64 64 </v>
      </c>
      <c r="C142" s="100" t="str">
        <f>IF(OR(LEFT(B142,LEN(B$16))=B$16,LEFT(B142,LEN(C$16))=C$16,LEN(B142)&lt;2),"","Wrong pick")</f>
        <v/>
      </c>
      <c r="D142" s="95">
        <f t="shared" ca="1" si="72"/>
        <v>1</v>
      </c>
      <c r="G142" s="95" t="str">
        <f>IF(B142=0,"",IF(LEFT(B142,LEN(B$16))=B$16,B$16,C$16))</f>
        <v>blumenberg</v>
      </c>
      <c r="H142" s="95" t="str">
        <f t="shared" si="73"/>
        <v>2-0</v>
      </c>
      <c r="I142" s="95" t="str">
        <f ca="1">IF(AND(J142=Singles!$H$21,INDIRECT(ADDRESS(A142+1,6,1))=0,NOT(INDIRECT(ADDRESS(A142+1,5,1))="")),IF(D142=0,IF(H142=H160,"",G142&amp;" "&amp;H142&amp;" v "&amp;H160&amp;", "),G142&amp;" "&amp;H142&amp;" vs. "&amp;G160&amp;" "&amp;H160&amp;", "),"")</f>
        <v xml:space="preserve">blumenberg 2-0 vs. santos , </v>
      </c>
      <c r="J142" s="97">
        <f>Singles!H$17</f>
        <v>1</v>
      </c>
      <c r="K142" s="95" t="str">
        <f t="shared" si="74"/>
        <v>PTS</v>
      </c>
      <c r="L142" s="95" t="str">
        <f t="shared" si="75"/>
        <v>64 64 </v>
      </c>
      <c r="M142" s="95" t="str">
        <f t="shared" si="76"/>
        <v>64 64 </v>
      </c>
      <c r="N142" s="95" t="str">
        <f t="shared" si="77"/>
        <v>64 64 </v>
      </c>
      <c r="O142" s="95" t="str">
        <f t="shared" si="78"/>
        <v>64 64 </v>
      </c>
      <c r="P142" s="95" t="str">
        <f t="shared" si="79"/>
        <v>64 64 </v>
      </c>
      <c r="Q142" s="95">
        <f>IF(AND(G142=T$16,LEN(G142)&gt;1),1,0)</f>
        <v>0</v>
      </c>
      <c r="R142" s="97">
        <f>Singles!D$17</f>
        <v>15</v>
      </c>
      <c r="S142" s="95">
        <f>IF(AND(H142=H$16,LEN(H142)&gt;1,Q142=1),1,0)</f>
        <v>0</v>
      </c>
      <c r="V142" s="97">
        <f>VLOOKUP(15,X128:Y143,2,0)</f>
        <v>1</v>
      </c>
      <c r="X142" s="95">
        <f t="shared" si="80"/>
        <v>15</v>
      </c>
      <c r="Y142" s="95">
        <f t="shared" si="81"/>
        <v>1</v>
      </c>
      <c r="Z142" s="95">
        <f t="shared" si="82"/>
        <v>0</v>
      </c>
    </row>
    <row r="143" spans="1:26">
      <c r="A143" s="95">
        <v>16</v>
      </c>
      <c r="B143" s="95" t="str">
        <f>Singles!H110</f>
        <v>LOJDA 64 64</v>
      </c>
      <c r="C143" s="100" t="str">
        <f>IF(OR(LEFT(B143,LEN(B$17))=B$17,LEFT(B143,LEN(C$17))=C$17,LEN(B143)&lt;2),"","Wrong pick")</f>
        <v/>
      </c>
      <c r="D143" s="95">
        <f t="shared" ca="1" si="72"/>
        <v>0</v>
      </c>
      <c r="G143" s="95" t="str">
        <f>IF(B143=0,"",IF(LEFT(B143,LEN(B$17))=B$17,B$17,C$17))</f>
        <v>lojda</v>
      </c>
      <c r="H143" s="95" t="str">
        <f t="shared" si="73"/>
        <v>2-0</v>
      </c>
      <c r="I143" s="95" t="str">
        <f ca="1">IF(AND(J143=Singles!$H$21,INDIRECT(ADDRESS(A143+1,6,1))=0,NOT(INDIRECT(ADDRESS(A143+1,5,1))="")),IF(D143=0,IF(H143=H161,"",G143&amp;" "&amp;H143&amp;" v "&amp;H161&amp;", "),G143&amp;" "&amp;H143&amp;" vs. "&amp;G161&amp;" "&amp;H161&amp;", "),"")</f>
        <v xml:space="preserve">lojda 2-0 v , </v>
      </c>
      <c r="J143" s="97">
        <f>Singles!H$18</f>
        <v>1</v>
      </c>
      <c r="K143" s="95" t="str">
        <f t="shared" si="74"/>
        <v>PTS</v>
      </c>
      <c r="L143" s="95" t="str">
        <f t="shared" si="75"/>
        <v>64 64</v>
      </c>
      <c r="M143" s="95" t="str">
        <f t="shared" si="76"/>
        <v>64 64</v>
      </c>
      <c r="N143" s="95" t="str">
        <f t="shared" si="77"/>
        <v>64 64</v>
      </c>
      <c r="O143" s="95" t="str">
        <f t="shared" si="78"/>
        <v>64 64</v>
      </c>
      <c r="P143" s="95" t="str">
        <f t="shared" si="79"/>
        <v>64 64</v>
      </c>
      <c r="Q143" s="95">
        <f>IF(AND(G143=T$17,LEN(G143)&gt;1),1,0)</f>
        <v>0</v>
      </c>
      <c r="R143" s="97">
        <f>Singles!D$18</f>
        <v>16</v>
      </c>
      <c r="S143" s="95">
        <f>IF(AND(H143=H$17,LEN(H143)&gt;1,Q143=1),1,0)</f>
        <v>0</v>
      </c>
      <c r="V143" s="97">
        <f>VLOOKUP(16,X128:Y143,2,0)</f>
        <v>1</v>
      </c>
      <c r="X143" s="95">
        <f t="shared" si="80"/>
        <v>16</v>
      </c>
      <c r="Y143" s="95">
        <f t="shared" si="81"/>
        <v>1</v>
      </c>
      <c r="Z143" s="95">
        <f t="shared" si="82"/>
        <v>0</v>
      </c>
    </row>
    <row r="145" spans="1:26">
      <c r="A145" s="95" t="str">
        <f>IF(LEN(VLOOKUP(B145,Singles!$A$2:$B$33,2,0))&gt;0,VLOOKUP(B145,Singles!$A$2:$B$33,2,0),"")</f>
        <v>ALT</v>
      </c>
      <c r="B145" s="96" t="str">
        <f>Singles!I94</f>
        <v>AeronW</v>
      </c>
      <c r="C145" s="96">
        <v>8</v>
      </c>
      <c r="D145" s="95" t="str">
        <f>VLOOKUP(B145,Singles!$A$2:$C$33,3,0)</f>
        <v>ROU</v>
      </c>
      <c r="J145" s="95" t="s">
        <v>88</v>
      </c>
      <c r="Q145" s="95" t="s">
        <v>121</v>
      </c>
      <c r="S145" s="95" t="s">
        <v>122</v>
      </c>
      <c r="T145" s="95" t="str">
        <f>IF(LEN(A145)&gt;0,"("&amp;A145&amp;") "&amp;B145,B145)&amp;IF(LEN(D145)&gt;1," ("&amp;D145&amp;")","")</f>
        <v>(ALT) AeronW (ROU)</v>
      </c>
      <c r="V145" s="95" t="s">
        <v>123</v>
      </c>
      <c r="Y145" s="95" t="s">
        <v>123</v>
      </c>
    </row>
    <row r="146" spans="1:26">
      <c r="A146" s="95">
        <v>1</v>
      </c>
      <c r="B146" s="95" t="str">
        <f>Singles!I95</f>
        <v>Ghem</v>
      </c>
      <c r="C146" s="99" t="str">
        <f>IF(OR(LEFT(B146,LEN(B$2))=B$2,LEFT(B146,LEN(C$2))=C$2,LEN(B146)&lt;2),"","Wrong pick")</f>
        <v/>
      </c>
      <c r="E146" s="95" t="str">
        <f ca="1">IF(AND(D128=1,J146=$I$2),G146&amp;", ","")&amp;IF(AND(D129=1,J147=$I$2),G147&amp;", ","")&amp;IF(AND(D130=1,J148=$I$2),G148&amp;", ","")&amp;IF(AND(D131=1,J149=$I$2),G149&amp;", ","")&amp;IF(AND(D132=1,J150=$I$2),G150&amp;", ","")&amp;IF(AND(D133=1,J151=$I$2),G151&amp;", ","")&amp;IF(AND(D134=1,J152=$I$2),G152&amp;", ","")&amp;IF(AND(D135=1,J153=$I$2),G153&amp;", ","")&amp;IF(AND(D136=1,J154=$I$2),G154&amp;", ","")&amp;IF(AND(D137=1,J155=$I$2),G155&amp;", ","")&amp;IF(AND(D138=1,J156=$I$2),G156&amp;", ","")&amp;IF(AND(D139=1,J157=$I$2),G157&amp;", ","")&amp;IF(AND(D140=1,J158=$I$2),G158&amp;", ","")&amp;IF(AND(D141=1,J159=$I$2),G159&amp;", ","")&amp;IF(AND(D142=1,J160=$I$2),G160&amp;", ","")&amp;IF(AND(D143=1,J161=$I$2),G161&amp;", ","")</f>
        <v xml:space="preserve">Gaio, matos, giner, santos, </v>
      </c>
      <c r="F146" s="95" t="str">
        <f>IF(AND(SUM(Z146:Z161)=$I$4,NOT(B145="Bye")),"Missing picks from "&amp;B145&amp;" ","")</f>
        <v/>
      </c>
      <c r="G146" s="95" t="str">
        <f>IF(B146=0,"",IF(LEFT(B146,LEN(B$2))=B$2,B$2,C$2))</f>
        <v>Ghem</v>
      </c>
      <c r="H146" s="95" t="str">
        <f t="shared" ref="H146:H161" si="83">IF(L146="","",IF(K146="PTS",IF(LEN(O146)&lt;8,"2-0","2-1"),LEFT(O146,1)&amp;"-"&amp;RIGHT(O146,1)))</f>
        <v/>
      </c>
      <c r="J146" s="97">
        <f>Singles!H$3</f>
        <v>1</v>
      </c>
      <c r="K146" s="95" t="str">
        <f t="shared" ref="K146:K161" si="84">IF(LEN(L146)&gt;0,IF(LEN(O146)&lt;4,"SR","PTS"),"")</f>
        <v/>
      </c>
      <c r="L146" s="95" t="str">
        <f t="shared" ref="L146:L161" si="85">TRIM(RIGHT(B146,LEN(B146)-LEN(G146)))</f>
        <v/>
      </c>
      <c r="M146" s="95" t="str">
        <f t="shared" ref="M146:M161" si="86">SUBSTITUTE(L146,"-","")</f>
        <v/>
      </c>
      <c r="N146" s="95" t="str">
        <f t="shared" ref="N146:N161" si="87">SUBSTITUTE(M146,","," ")</f>
        <v/>
      </c>
      <c r="O146" s="95" t="str">
        <f t="shared" ref="O146:O161" si="88">IF(AND(LEN(TRIM(SUBSTITUTE(P146,"/","")))&gt;6,OR(LEFT(TRIM(SUBSTITUTE(P146,"/","")),2)="20",LEFT(TRIM(SUBSTITUTE(P146,"/","")),2)="21")),RIGHT(TRIM(SUBSTITUTE(P146,"/","")),LEN(TRIM(SUBSTITUTE(P146,"/","")))-3),TRIM(SUBSTITUTE(P146,"/","")))</f>
        <v/>
      </c>
      <c r="P146" s="95" t="str">
        <f t="shared" ref="P146:P161" si="89">SUBSTITUTE(N146,":","")</f>
        <v/>
      </c>
      <c r="Q146" s="95">
        <f>IF(AND(G146=T$2,LEN(G146)&gt;1),1,0)</f>
        <v>0</v>
      </c>
      <c r="R146" s="97">
        <f>Singles!D$3</f>
        <v>1</v>
      </c>
      <c r="S146" s="95">
        <f>IF(AND(H146=H$2,LEN(H146)&gt;1,Q146=1),1,0)</f>
        <v>0</v>
      </c>
      <c r="T146" s="95" t="str">
        <f t="shared" ref="T146:T161" si="90">IF(V128=V146,"No","Winner")</f>
        <v>No</v>
      </c>
      <c r="U146" s="95" t="str">
        <f>IF(T146="Winner",IF(V146&gt;V128,B145,B127),"")</f>
        <v/>
      </c>
      <c r="V146" s="97">
        <f>VLOOKUP(1,X146:Y161,2,0)</f>
        <v>1</v>
      </c>
      <c r="W146" s="95">
        <v>1</v>
      </c>
      <c r="X146" s="95">
        <f t="shared" ref="X146:X161" si="91">R146</f>
        <v>1</v>
      </c>
      <c r="Y146" s="95">
        <f t="shared" ref="Y146:Y161" si="92">IF(Q146=1,IF(S146=1,4,3),IF(H146="2-1",2,1))</f>
        <v>1</v>
      </c>
      <c r="Z146" s="95">
        <f t="shared" ref="Z146:Z161" si="93">IF(AND($I$2=J146,B146=0),1,0)</f>
        <v>0</v>
      </c>
    </row>
    <row r="147" spans="1:26">
      <c r="A147" s="95">
        <v>2</v>
      </c>
      <c r="B147" s="95" t="str">
        <f>Singles!I96</f>
        <v>Machado </v>
      </c>
      <c r="C147" s="100" t="str">
        <f>IF(OR(LEFT(B147,LEN(B$3))=B$3,LEFT(B147,LEN(C$3))=C$3,LEN(B147)&lt;2),"","Wrong pick")</f>
        <v/>
      </c>
      <c r="G147" s="95" t="str">
        <f>IF(B147=0,"",IF(LEFT(B147,LEN(B$3))=B$3,B$3,C$3))</f>
        <v>Machado</v>
      </c>
      <c r="H147" s="95" t="str">
        <f t="shared" si="83"/>
        <v> - </v>
      </c>
      <c r="J147" s="97">
        <f>Singles!H$4</f>
        <v>1</v>
      </c>
      <c r="K147" s="95" t="str">
        <f t="shared" si="84"/>
        <v>SR</v>
      </c>
      <c r="L147" s="95" t="str">
        <f t="shared" si="85"/>
        <v> </v>
      </c>
      <c r="M147" s="95" t="str">
        <f t="shared" si="86"/>
        <v> </v>
      </c>
      <c r="N147" s="95" t="str">
        <f t="shared" si="87"/>
        <v> </v>
      </c>
      <c r="O147" s="95" t="str">
        <f t="shared" si="88"/>
        <v> </v>
      </c>
      <c r="P147" s="95" t="str">
        <f t="shared" si="89"/>
        <v> </v>
      </c>
      <c r="Q147" s="95">
        <f>IF(AND(G147=T$3,LEN(G147)&gt;1),1,0)</f>
        <v>0</v>
      </c>
      <c r="R147" s="97">
        <f>Singles!D$4</f>
        <v>2</v>
      </c>
      <c r="S147" s="95">
        <f>IF(AND(H147=H$3,LEN(H147)&gt;1,Q147=1),1,0)</f>
        <v>0</v>
      </c>
      <c r="T147" s="95" t="str">
        <f t="shared" si="90"/>
        <v>No</v>
      </c>
      <c r="U147" s="95" t="str">
        <f>IF(T147="Winner",IF(V147&gt;V129,B145,B127),"")</f>
        <v/>
      </c>
      <c r="V147" s="97">
        <f>VLOOKUP(2,X146:Y161,2,0)</f>
        <v>1</v>
      </c>
      <c r="W147" s="95">
        <v>2</v>
      </c>
      <c r="X147" s="95">
        <f t="shared" si="91"/>
        <v>2</v>
      </c>
      <c r="Y147" s="95">
        <f t="shared" si="92"/>
        <v>1</v>
      </c>
      <c r="Z147" s="95">
        <f t="shared" si="93"/>
        <v>0</v>
      </c>
    </row>
    <row r="148" spans="1:26">
      <c r="A148" s="95">
        <v>3</v>
      </c>
      <c r="B148" s="95" t="str">
        <f>Singles!I97</f>
        <v>junqueira</v>
      </c>
      <c r="C148" s="100" t="str">
        <f>IF(OR(LEFT(B148,LEN(B$4))=B$4,LEFT(B148,LEN(C$4))=C$4,LEN(B148)&lt;2),"","Wrong pick")</f>
        <v/>
      </c>
      <c r="G148" s="95" t="str">
        <f>IF(B148=0,"",IF(LEFT(B148,LEN(B$4))=B$4,B$4,C$4))</f>
        <v>Junqueira</v>
      </c>
      <c r="H148" s="95" t="str">
        <f t="shared" si="83"/>
        <v/>
      </c>
      <c r="J148" s="97">
        <f>Singles!H$5</f>
        <v>1</v>
      </c>
      <c r="K148" s="95" t="str">
        <f t="shared" si="84"/>
        <v/>
      </c>
      <c r="L148" s="95" t="str">
        <f t="shared" si="85"/>
        <v/>
      </c>
      <c r="M148" s="95" t="str">
        <f t="shared" si="86"/>
        <v/>
      </c>
      <c r="N148" s="95" t="str">
        <f t="shared" si="87"/>
        <v/>
      </c>
      <c r="O148" s="95" t="str">
        <f t="shared" si="88"/>
        <v/>
      </c>
      <c r="P148" s="95" t="str">
        <f t="shared" si="89"/>
        <v/>
      </c>
      <c r="Q148" s="95">
        <f>IF(AND(G148=T$4,LEN(G148)&gt;1),1,0)</f>
        <v>0</v>
      </c>
      <c r="R148" s="97">
        <f>Singles!D$5</f>
        <v>3</v>
      </c>
      <c r="S148" s="95">
        <f>IF(AND(H148=H$4,LEN(H148)&gt;1,Q148=1),1,0)</f>
        <v>0</v>
      </c>
      <c r="T148" s="95" t="str">
        <f t="shared" si="90"/>
        <v>No</v>
      </c>
      <c r="U148" s="95" t="str">
        <f>IF(T148="Winner",IF(V148&gt;V130,B145,B127),"")</f>
        <v/>
      </c>
      <c r="V148" s="97">
        <f>VLOOKUP(3,X146:Y161,2,0)</f>
        <v>1</v>
      </c>
      <c r="W148" s="95">
        <v>3</v>
      </c>
      <c r="X148" s="95">
        <f t="shared" si="91"/>
        <v>3</v>
      </c>
      <c r="Y148" s="95">
        <f t="shared" si="92"/>
        <v>1</v>
      </c>
      <c r="Z148" s="95">
        <f t="shared" si="93"/>
        <v>0</v>
      </c>
    </row>
    <row r="149" spans="1:26">
      <c r="A149" s="95">
        <v>4</v>
      </c>
      <c r="B149" s="95" t="str">
        <f>Singles!I98</f>
        <v>gaio</v>
      </c>
      <c r="C149" s="100" t="str">
        <f>IF(OR(LEFT(B149,LEN(B$5))=B$5,LEFT(B149,LEN(C$5))=C$5,LEN(B149)&lt;2),"","Wrong pick")</f>
        <v/>
      </c>
      <c r="G149" s="95" t="str">
        <f>IF(B149=0,"",IF(LEFT(B149,LEN(B$5))=B$5,B$5,C$5))</f>
        <v>Gaio</v>
      </c>
      <c r="H149" s="95" t="str">
        <f t="shared" si="83"/>
        <v/>
      </c>
      <c r="J149" s="97">
        <f>Singles!H$6</f>
        <v>1</v>
      </c>
      <c r="K149" s="95" t="str">
        <f t="shared" si="84"/>
        <v/>
      </c>
      <c r="L149" s="95" t="str">
        <f t="shared" si="85"/>
        <v/>
      </c>
      <c r="M149" s="95" t="str">
        <f t="shared" si="86"/>
        <v/>
      </c>
      <c r="N149" s="95" t="str">
        <f t="shared" si="87"/>
        <v/>
      </c>
      <c r="O149" s="95" t="str">
        <f t="shared" si="88"/>
        <v/>
      </c>
      <c r="P149" s="95" t="str">
        <f t="shared" si="89"/>
        <v/>
      </c>
      <c r="Q149" s="95">
        <f>IF(AND(G149=T$5,LEN(G149)&gt;1),1,0)</f>
        <v>0</v>
      </c>
      <c r="R149" s="97">
        <f>Singles!D$6</f>
        <v>4</v>
      </c>
      <c r="S149" s="95">
        <f>IF(AND(H149=H$5,LEN(H149)&gt;1,Q149=1),1,0)</f>
        <v>0</v>
      </c>
      <c r="T149" s="95" t="str">
        <f t="shared" si="90"/>
        <v>No</v>
      </c>
      <c r="U149" s="95" t="str">
        <f>IF(T149="Winner",IF(V149&gt;V131,B145,B127),"")</f>
        <v/>
      </c>
      <c r="V149" s="97">
        <f>VLOOKUP(4,X146:Y161,2,0)</f>
        <v>1</v>
      </c>
      <c r="W149" s="95">
        <v>4</v>
      </c>
      <c r="X149" s="95">
        <f t="shared" si="91"/>
        <v>4</v>
      </c>
      <c r="Y149" s="95">
        <f t="shared" si="92"/>
        <v>1</v>
      </c>
      <c r="Z149" s="95">
        <f t="shared" si="93"/>
        <v>0</v>
      </c>
    </row>
    <row r="150" spans="1:26">
      <c r="A150" s="95">
        <v>5</v>
      </c>
      <c r="B150" s="95" t="str">
        <f>Singles!I99</f>
        <v>podlipBik-CASTILLO</v>
      </c>
      <c r="C150" s="100" t="str">
        <f>IF(OR(LEFT(B150,LEN(B$6))=B$6,LEFT(B150,LEN(C$6))=C$6,LEN(B150)&lt;2),"","Wrong pick")</f>
        <v/>
      </c>
      <c r="G150" s="95" t="str">
        <f>IF(B150=0,"",IF(LEFT(B150,LEN(B$6))=B$6,B$6,C$6))</f>
        <v>PODLIPBIK-CASTILLO</v>
      </c>
      <c r="H150" s="95" t="str">
        <f t="shared" si="83"/>
        <v/>
      </c>
      <c r="J150" s="97">
        <f>Singles!H$7</f>
        <v>1</v>
      </c>
      <c r="K150" s="95" t="str">
        <f t="shared" si="84"/>
        <v/>
      </c>
      <c r="L150" s="95" t="str">
        <f t="shared" si="85"/>
        <v/>
      </c>
      <c r="M150" s="95" t="str">
        <f t="shared" si="86"/>
        <v/>
      </c>
      <c r="N150" s="95" t="str">
        <f t="shared" si="87"/>
        <v/>
      </c>
      <c r="O150" s="95" t="str">
        <f t="shared" si="88"/>
        <v/>
      </c>
      <c r="P150" s="95" t="str">
        <f t="shared" si="89"/>
        <v/>
      </c>
      <c r="Q150" s="95">
        <f>IF(AND(G150=T$6,LEN(G150)&gt;1),1,0)</f>
        <v>0</v>
      </c>
      <c r="R150" s="97">
        <f>Singles!D$7</f>
        <v>5</v>
      </c>
      <c r="S150" s="95">
        <f>IF(AND(H150=H$6,LEN(H150)&gt;1,Q150=1),1,0)</f>
        <v>0</v>
      </c>
      <c r="T150" s="95" t="str">
        <f t="shared" si="90"/>
        <v>No</v>
      </c>
      <c r="U150" s="95" t="str">
        <f>IF(T150="Winner",IF(V150&gt;V132,B145,B127),"")</f>
        <v/>
      </c>
      <c r="V150" s="97">
        <f>VLOOKUP(5,X146:Y161,2,0)</f>
        <v>1</v>
      </c>
      <c r="W150" s="95">
        <v>5</v>
      </c>
      <c r="X150" s="95">
        <f t="shared" si="91"/>
        <v>5</v>
      </c>
      <c r="Y150" s="95">
        <f t="shared" si="92"/>
        <v>1</v>
      </c>
      <c r="Z150" s="95">
        <f t="shared" si="93"/>
        <v>0</v>
      </c>
    </row>
    <row r="151" spans="1:26">
      <c r="A151" s="95">
        <v>6</v>
      </c>
      <c r="B151" s="95" t="str">
        <f>Singles!I100</f>
        <v>lindell</v>
      </c>
      <c r="C151" s="100" t="str">
        <f>IF(OR(LEFT(B151,LEN(B$7))=B$7,LEFT(B151,LEN(C$7))=C$7,LEN(B151)&lt;2),"","Wrong pick")</f>
        <v/>
      </c>
      <c r="G151" s="95" t="str">
        <f>IF(B151=0,"",IF(LEFT(B151,LEN(B$7))=B$7,B$7,C$7))</f>
        <v>Lindell</v>
      </c>
      <c r="H151" s="95" t="str">
        <f t="shared" si="83"/>
        <v/>
      </c>
      <c r="J151" s="97">
        <f>Singles!H$8</f>
        <v>1</v>
      </c>
      <c r="K151" s="95" t="str">
        <f t="shared" si="84"/>
        <v/>
      </c>
      <c r="L151" s="95" t="str">
        <f t="shared" si="85"/>
        <v/>
      </c>
      <c r="M151" s="95" t="str">
        <f t="shared" si="86"/>
        <v/>
      </c>
      <c r="N151" s="95" t="str">
        <f t="shared" si="87"/>
        <v/>
      </c>
      <c r="O151" s="95" t="str">
        <f t="shared" si="88"/>
        <v/>
      </c>
      <c r="P151" s="95" t="str">
        <f t="shared" si="89"/>
        <v/>
      </c>
      <c r="Q151" s="95">
        <f>IF(AND(G151=T$7,LEN(G151)&gt;1),1,0)</f>
        <v>0</v>
      </c>
      <c r="R151" s="97">
        <f>Singles!D$8</f>
        <v>6</v>
      </c>
      <c r="S151" s="95">
        <f>IF(AND(H151=H$7,LEN(H151)&gt;1,Q151=1),1,0)</f>
        <v>0</v>
      </c>
      <c r="T151" s="95" t="str">
        <f t="shared" si="90"/>
        <v>No</v>
      </c>
      <c r="U151" s="95" t="str">
        <f>IF(T151="Winner",IF(V151&gt;V133,B145,B127),"")</f>
        <v/>
      </c>
      <c r="V151" s="97">
        <f>VLOOKUP(6,X146:Y161,2,0)</f>
        <v>1</v>
      </c>
      <c r="W151" s="95">
        <v>6</v>
      </c>
      <c r="X151" s="95">
        <f t="shared" si="91"/>
        <v>6</v>
      </c>
      <c r="Y151" s="95">
        <f t="shared" si="92"/>
        <v>1</v>
      </c>
      <c r="Z151" s="95">
        <f t="shared" si="93"/>
        <v>0</v>
      </c>
    </row>
    <row r="152" spans="1:26">
      <c r="A152" s="95">
        <v>7</v>
      </c>
      <c r="B152" s="95" t="str">
        <f>Singles!I101</f>
        <v>michon</v>
      </c>
      <c r="C152" s="100" t="str">
        <f>IF(OR(LEFT(B152,LEN(B$8))=B$8,LEFT(B152,LEN(C$8))=C$8,LEN(B152)&lt;2),"","Wrong pick")</f>
        <v/>
      </c>
      <c r="G152" s="95" t="str">
        <f>IF(B152=0,"",IF(LEFT(B152,LEN(B$8))=B$8,B$8,C$8))</f>
        <v>Michon</v>
      </c>
      <c r="H152" s="95" t="str">
        <f t="shared" si="83"/>
        <v/>
      </c>
      <c r="J152" s="97">
        <f>Singles!H$9</f>
        <v>1</v>
      </c>
      <c r="K152" s="95" t="str">
        <f t="shared" si="84"/>
        <v/>
      </c>
      <c r="L152" s="95" t="str">
        <f t="shared" si="85"/>
        <v/>
      </c>
      <c r="M152" s="95" t="str">
        <f t="shared" si="86"/>
        <v/>
      </c>
      <c r="N152" s="95" t="str">
        <f t="shared" si="87"/>
        <v/>
      </c>
      <c r="O152" s="95" t="str">
        <f t="shared" si="88"/>
        <v/>
      </c>
      <c r="P152" s="95" t="str">
        <f t="shared" si="89"/>
        <v/>
      </c>
      <c r="Q152" s="95">
        <f>IF(AND(G152=T$8,LEN(G152)&gt;1),1,0)</f>
        <v>0</v>
      </c>
      <c r="R152" s="97">
        <f>Singles!D$9</f>
        <v>7</v>
      </c>
      <c r="S152" s="95">
        <f>IF(AND(H152=H$8,LEN(H152)&gt;1,Q152=1),1,0)</f>
        <v>0</v>
      </c>
      <c r="T152" s="95" t="str">
        <f t="shared" si="90"/>
        <v>No</v>
      </c>
      <c r="U152" s="95" t="str">
        <f>IF(T152="Winner",IF(V152&gt;V134,B145,B127),"")</f>
        <v/>
      </c>
      <c r="V152" s="97">
        <f>VLOOKUP(7,X146:Y161,2,0)</f>
        <v>1</v>
      </c>
      <c r="W152" s="95">
        <v>7</v>
      </c>
      <c r="X152" s="95">
        <f t="shared" si="91"/>
        <v>7</v>
      </c>
      <c r="Y152" s="95">
        <f t="shared" si="92"/>
        <v>1</v>
      </c>
      <c r="Z152" s="95">
        <f t="shared" si="93"/>
        <v>0</v>
      </c>
    </row>
    <row r="153" spans="1:26">
      <c r="A153" s="95">
        <v>8</v>
      </c>
      <c r="B153" s="95" t="str">
        <f>Singles!I102</f>
        <v>gonzalez</v>
      </c>
      <c r="C153" s="100" t="str">
        <f>IF(OR(LEFT(B153,LEN(B$9))=B$9,LEFT(B153,LEN(C$9))=C$9,LEN(B153)&lt;2),"","Wrong pick")</f>
        <v/>
      </c>
      <c r="G153" s="95" t="str">
        <f>IF(B153=0,"",IF(LEFT(B153,LEN(B$9))=B$9,B$9,C$9))</f>
        <v>gonzalez</v>
      </c>
      <c r="H153" s="95" t="str">
        <f t="shared" si="83"/>
        <v/>
      </c>
      <c r="J153" s="97">
        <f>Singles!H$10</f>
        <v>1</v>
      </c>
      <c r="K153" s="95" t="str">
        <f t="shared" si="84"/>
        <v/>
      </c>
      <c r="L153" s="95" t="str">
        <f t="shared" si="85"/>
        <v/>
      </c>
      <c r="M153" s="95" t="str">
        <f t="shared" si="86"/>
        <v/>
      </c>
      <c r="N153" s="95" t="str">
        <f t="shared" si="87"/>
        <v/>
      </c>
      <c r="O153" s="95" t="str">
        <f t="shared" si="88"/>
        <v/>
      </c>
      <c r="P153" s="95" t="str">
        <f t="shared" si="89"/>
        <v/>
      </c>
      <c r="Q153" s="95">
        <f>IF(AND(G153=T$9,LEN(G153)&gt;1),1,0)</f>
        <v>0</v>
      </c>
      <c r="R153" s="97">
        <f>Singles!D$10</f>
        <v>8</v>
      </c>
      <c r="S153" s="95">
        <f>IF(AND(H153=H$9,LEN(H153)&gt;1,Q153=1),1,0)</f>
        <v>0</v>
      </c>
      <c r="T153" s="95" t="str">
        <f t="shared" si="90"/>
        <v>No</v>
      </c>
      <c r="U153" s="95" t="str">
        <f>IF(T153="Winner",IF(V153&gt;V135,B145,B127),"")</f>
        <v/>
      </c>
      <c r="V153" s="97">
        <f>VLOOKUP(8,X146:Y161,2,0)</f>
        <v>1</v>
      </c>
      <c r="W153" s="95">
        <v>8</v>
      </c>
      <c r="X153" s="95">
        <f t="shared" si="91"/>
        <v>8</v>
      </c>
      <c r="Y153" s="95">
        <f t="shared" si="92"/>
        <v>1</v>
      </c>
      <c r="Z153" s="95">
        <f t="shared" si="93"/>
        <v>0</v>
      </c>
    </row>
    <row r="154" spans="1:26">
      <c r="A154" s="95">
        <v>9</v>
      </c>
      <c r="B154" s="95" t="str">
        <f>Singles!I103</f>
        <v>pereira</v>
      </c>
      <c r="C154" s="100" t="str">
        <f>IF(OR(LEFT(B154,LEN(B$10))=B$10,LEFT(B154,LEN(C$10))=C$10,LEN(B154)&lt;2),"","Wrong pick")</f>
        <v/>
      </c>
      <c r="G154" s="95" t="str">
        <f>IF(B154=0,"",IF(LEFT(B154,LEN(B$10))=B$10,B$10,C$10))</f>
        <v>pereira</v>
      </c>
      <c r="H154" s="95" t="str">
        <f t="shared" si="83"/>
        <v/>
      </c>
      <c r="J154" s="97">
        <f>Singles!H$11</f>
        <v>1</v>
      </c>
      <c r="K154" s="95" t="str">
        <f t="shared" si="84"/>
        <v/>
      </c>
      <c r="L154" s="95" t="str">
        <f t="shared" si="85"/>
        <v/>
      </c>
      <c r="M154" s="95" t="str">
        <f t="shared" si="86"/>
        <v/>
      </c>
      <c r="N154" s="95" t="str">
        <f t="shared" si="87"/>
        <v/>
      </c>
      <c r="O154" s="95" t="str">
        <f t="shared" si="88"/>
        <v/>
      </c>
      <c r="P154" s="95" t="str">
        <f t="shared" si="89"/>
        <v/>
      </c>
      <c r="Q154" s="95">
        <f>IF(AND(G154=T$10,LEN(G154)&gt;1),1,0)</f>
        <v>0</v>
      </c>
      <c r="R154" s="97">
        <f>Singles!D$11</f>
        <v>9</v>
      </c>
      <c r="S154" s="95">
        <f>IF(AND(H154=H$10,LEN(H154)&gt;1,Q154=1),1,0)</f>
        <v>0</v>
      </c>
      <c r="T154" s="95" t="str">
        <f t="shared" si="90"/>
        <v>No</v>
      </c>
      <c r="U154" s="95" t="str">
        <f>IF(T154="Winner",IF(V154&gt;V136,B145,B127),"")</f>
        <v/>
      </c>
      <c r="V154" s="97">
        <f>VLOOKUP(9,X146:Y161,2,0)</f>
        <v>1</v>
      </c>
      <c r="W154" s="95">
        <v>9</v>
      </c>
      <c r="X154" s="95">
        <f t="shared" si="91"/>
        <v>9</v>
      </c>
      <c r="Y154" s="95">
        <f t="shared" si="92"/>
        <v>1</v>
      </c>
      <c r="Z154" s="95">
        <f t="shared" si="93"/>
        <v>0</v>
      </c>
    </row>
    <row r="155" spans="1:26">
      <c r="A155" s="95">
        <v>10</v>
      </c>
      <c r="B155" s="95" t="str">
        <f>Singles!I104</f>
        <v>matos</v>
      </c>
      <c r="C155" s="100" t="str">
        <f>IF(OR(LEFT(B155,LEN(B$11))=B$11,LEFT(B155,LEN(C$11))=C$11,LEN(B155)&lt;2),"","Wrong pick")</f>
        <v/>
      </c>
      <c r="G155" s="95" t="str">
        <f>IF(B155=0,"",IF(LEFT(B155,LEN(B$11))=B$11,B$11,C$11))</f>
        <v>matos</v>
      </c>
      <c r="H155" s="95" t="str">
        <f t="shared" si="83"/>
        <v/>
      </c>
      <c r="J155" s="97">
        <f>Singles!H$12</f>
        <v>1</v>
      </c>
      <c r="K155" s="95" t="str">
        <f t="shared" si="84"/>
        <v/>
      </c>
      <c r="L155" s="95" t="str">
        <f t="shared" si="85"/>
        <v/>
      </c>
      <c r="M155" s="95" t="str">
        <f t="shared" si="86"/>
        <v/>
      </c>
      <c r="N155" s="95" t="str">
        <f t="shared" si="87"/>
        <v/>
      </c>
      <c r="O155" s="95" t="str">
        <f t="shared" si="88"/>
        <v/>
      </c>
      <c r="P155" s="95" t="str">
        <f t="shared" si="89"/>
        <v/>
      </c>
      <c r="Q155" s="95">
        <f>IF(AND(G155=T$11,LEN(G155)&gt;1),1,0)</f>
        <v>0</v>
      </c>
      <c r="R155" s="97">
        <f>Singles!D$12</f>
        <v>10</v>
      </c>
      <c r="S155" s="95">
        <f>IF(AND(H155=H$11,LEN(H155)&gt;1,Q155=1),1,0)</f>
        <v>0</v>
      </c>
      <c r="T155" s="95" t="str">
        <f t="shared" si="90"/>
        <v>No</v>
      </c>
      <c r="U155" s="95" t="str">
        <f>IF(T155="Winner",IF(V155&gt;V137,B145,B127),"")</f>
        <v/>
      </c>
      <c r="V155" s="97">
        <f>VLOOKUP(10,X146:Y161,2,0)</f>
        <v>1</v>
      </c>
      <c r="W155" s="95">
        <v>10</v>
      </c>
      <c r="X155" s="95">
        <f t="shared" si="91"/>
        <v>10</v>
      </c>
      <c r="Y155" s="95">
        <f t="shared" si="92"/>
        <v>1</v>
      </c>
      <c r="Z155" s="95">
        <f t="shared" si="93"/>
        <v>0</v>
      </c>
    </row>
    <row r="156" spans="1:26">
      <c r="A156" s="95">
        <v>11</v>
      </c>
      <c r="B156" s="95" t="str">
        <f>Singles!I105</f>
        <v>giner</v>
      </c>
      <c r="C156" s="100" t="str">
        <f>IF(OR(LEFT(B156,LEN(B$12))=B$12,LEFT(B156,LEN(C$12))=C$12,LEN(B156)&lt;2),"","Wrong pick")</f>
        <v/>
      </c>
      <c r="G156" s="95" t="str">
        <f>IF(B156=0,"",IF(LEFT(B156,LEN(B$12))=B$12,B$12,C$12))</f>
        <v>giner</v>
      </c>
      <c r="H156" s="95" t="str">
        <f t="shared" si="83"/>
        <v/>
      </c>
      <c r="J156" s="97">
        <f>Singles!H$13</f>
        <v>1</v>
      </c>
      <c r="K156" s="95" t="str">
        <f t="shared" si="84"/>
        <v/>
      </c>
      <c r="L156" s="95" t="str">
        <f t="shared" si="85"/>
        <v/>
      </c>
      <c r="M156" s="95" t="str">
        <f t="shared" si="86"/>
        <v/>
      </c>
      <c r="N156" s="95" t="str">
        <f t="shared" si="87"/>
        <v/>
      </c>
      <c r="O156" s="95" t="str">
        <f t="shared" si="88"/>
        <v/>
      </c>
      <c r="P156" s="95" t="str">
        <f t="shared" si="89"/>
        <v/>
      </c>
      <c r="Q156" s="95">
        <f>IF(AND(G156=T$12,LEN(G156)&gt;1),1,0)</f>
        <v>0</v>
      </c>
      <c r="R156" s="97">
        <f>Singles!D$13</f>
        <v>11</v>
      </c>
      <c r="S156" s="95">
        <f>IF(AND(H156=H$12,LEN(H156)&gt;1,Q156=1),1,0)</f>
        <v>0</v>
      </c>
      <c r="T156" s="95" t="str">
        <f t="shared" si="90"/>
        <v>No</v>
      </c>
      <c r="U156" s="95" t="str">
        <f>IF(T156="Winner",IF(V156&gt;V138,B145,B127),"")</f>
        <v/>
      </c>
      <c r="V156" s="97">
        <f>VLOOKUP(11,X146:Y161,2,0)</f>
        <v>1</v>
      </c>
      <c r="W156" s="95">
        <v>11</v>
      </c>
      <c r="X156" s="95">
        <f t="shared" si="91"/>
        <v>11</v>
      </c>
      <c r="Y156" s="95">
        <f t="shared" si="92"/>
        <v>1</v>
      </c>
      <c r="Z156" s="95">
        <f t="shared" si="93"/>
        <v>0</v>
      </c>
    </row>
    <row r="157" spans="1:26">
      <c r="A157" s="95">
        <v>12</v>
      </c>
      <c r="B157" s="95" t="str">
        <f>Singles!I106</f>
        <v>galdon</v>
      </c>
      <c r="C157" s="100" t="str">
        <f>IF(OR(LEFT(B157,LEN(B$13))=B$13,LEFT(B157,LEN(C$13))=C$13,LEN(B157)&lt;2),"","Wrong pick")</f>
        <v/>
      </c>
      <c r="G157" s="95" t="str">
        <f>IF(B157=0,"",IF(LEFT(B157,LEN(B$13))=B$13,B$13,C$13))</f>
        <v>galdon</v>
      </c>
      <c r="H157" s="95" t="str">
        <f t="shared" si="83"/>
        <v/>
      </c>
      <c r="J157" s="97">
        <f>Singles!H$14</f>
        <v>1</v>
      </c>
      <c r="K157" s="95" t="str">
        <f t="shared" si="84"/>
        <v/>
      </c>
      <c r="L157" s="95" t="str">
        <f t="shared" si="85"/>
        <v/>
      </c>
      <c r="M157" s="95" t="str">
        <f t="shared" si="86"/>
        <v/>
      </c>
      <c r="N157" s="95" t="str">
        <f t="shared" si="87"/>
        <v/>
      </c>
      <c r="O157" s="95" t="str">
        <f t="shared" si="88"/>
        <v/>
      </c>
      <c r="P157" s="95" t="str">
        <f t="shared" si="89"/>
        <v/>
      </c>
      <c r="Q157" s="95">
        <f>IF(AND(G157=T$13,LEN(G157)&gt;1),1,0)</f>
        <v>0</v>
      </c>
      <c r="R157" s="97">
        <f>Singles!D$14</f>
        <v>12</v>
      </c>
      <c r="S157" s="95">
        <f>IF(AND(H157=H$13,LEN(H157)&gt;1,Q157=1),1,0)</f>
        <v>0</v>
      </c>
      <c r="T157" s="95" t="str">
        <f t="shared" si="90"/>
        <v>No</v>
      </c>
      <c r="U157" s="95" t="str">
        <f>IF(T157="Winner",IF(V157&gt;V139,B145,B127),"")</f>
        <v/>
      </c>
      <c r="V157" s="97">
        <f>VLOOKUP(12,X146:Y161,2,0)</f>
        <v>1</v>
      </c>
      <c r="W157" s="95">
        <v>12</v>
      </c>
      <c r="X157" s="95">
        <f t="shared" si="91"/>
        <v>12</v>
      </c>
      <c r="Y157" s="95">
        <f t="shared" si="92"/>
        <v>1</v>
      </c>
      <c r="Z157" s="95">
        <f t="shared" si="93"/>
        <v>0</v>
      </c>
    </row>
    <row r="158" spans="1:26">
      <c r="A158" s="95">
        <v>13</v>
      </c>
      <c r="B158" s="95" t="str">
        <f>Singles!I107</f>
        <v>lobkov</v>
      </c>
      <c r="C158" s="100" t="str">
        <f>IF(OR(LEFT(B158,LEN(B$14))=B$14,LEFT(B158,LEN(C$14))=C$14,LEN(B158)&lt;2),"","Wrong pick")</f>
        <v/>
      </c>
      <c r="G158" s="95" t="str">
        <f>IF(B158=0,"",IF(LEFT(B158,LEN(B$14))=B$14,B$14,C$14))</f>
        <v>lobkov</v>
      </c>
      <c r="H158" s="95" t="str">
        <f t="shared" si="83"/>
        <v/>
      </c>
      <c r="J158" s="97">
        <f>Singles!H$15</f>
        <v>1</v>
      </c>
      <c r="K158" s="95" t="str">
        <f t="shared" si="84"/>
        <v/>
      </c>
      <c r="L158" s="95" t="str">
        <f t="shared" si="85"/>
        <v/>
      </c>
      <c r="M158" s="95" t="str">
        <f t="shared" si="86"/>
        <v/>
      </c>
      <c r="N158" s="95" t="str">
        <f t="shared" si="87"/>
        <v/>
      </c>
      <c r="O158" s="95" t="str">
        <f t="shared" si="88"/>
        <v/>
      </c>
      <c r="P158" s="95" t="str">
        <f t="shared" si="89"/>
        <v/>
      </c>
      <c r="Q158" s="95">
        <f>IF(AND(G158=T$14,LEN(G158)&gt;1),1,0)</f>
        <v>0</v>
      </c>
      <c r="R158" s="97">
        <f>Singles!D$15</f>
        <v>13</v>
      </c>
      <c r="S158" s="95">
        <f>IF(AND(H158=H$14,LEN(H158)&gt;1,Q158=1),1,0)</f>
        <v>0</v>
      </c>
      <c r="T158" s="95" t="str">
        <f t="shared" si="90"/>
        <v>No</v>
      </c>
      <c r="U158" s="95" t="str">
        <f>IF(T158="Winner",IF(V158&gt;V140,B145,B127),"")</f>
        <v/>
      </c>
      <c r="V158" s="97">
        <f>VLOOKUP(13,X146:Y161,2,0)</f>
        <v>1</v>
      </c>
      <c r="W158" s="95">
        <v>13</v>
      </c>
      <c r="X158" s="95">
        <f t="shared" si="91"/>
        <v>13</v>
      </c>
      <c r="Y158" s="95">
        <f t="shared" si="92"/>
        <v>1</v>
      </c>
      <c r="Z158" s="95">
        <f t="shared" si="93"/>
        <v>0</v>
      </c>
    </row>
    <row r="159" spans="1:26">
      <c r="A159" s="95">
        <v>14</v>
      </c>
      <c r="B159" s="95" t="str">
        <f>Singles!I108</f>
        <v>santos</v>
      </c>
      <c r="C159" s="100" t="str">
        <f>IF(OR(LEFT(B159,LEN(B$15))=B$15,LEFT(B159,LEN(C$15))=C$15,LEN(B159)&lt;2),"","Wrong pick")</f>
        <v/>
      </c>
      <c r="G159" s="95" t="str">
        <f>IF(B159=0,"",IF(LEFT(B159,LEN(B$15))=B$15,B$15,C$15))</f>
        <v>santos</v>
      </c>
      <c r="H159" s="95" t="str">
        <f t="shared" si="83"/>
        <v/>
      </c>
      <c r="J159" s="97">
        <f>Singles!H$16</f>
        <v>1</v>
      </c>
      <c r="K159" s="95" t="str">
        <f t="shared" si="84"/>
        <v/>
      </c>
      <c r="L159" s="95" t="str">
        <f t="shared" si="85"/>
        <v/>
      </c>
      <c r="M159" s="95" t="str">
        <f t="shared" si="86"/>
        <v/>
      </c>
      <c r="N159" s="95" t="str">
        <f t="shared" si="87"/>
        <v/>
      </c>
      <c r="O159" s="95" t="str">
        <f t="shared" si="88"/>
        <v/>
      </c>
      <c r="P159" s="95" t="str">
        <f t="shared" si="89"/>
        <v/>
      </c>
      <c r="Q159" s="95">
        <f>IF(AND(G159=T$15,LEN(G159)&gt;1),1,0)</f>
        <v>0</v>
      </c>
      <c r="R159" s="97">
        <f>Singles!D$16</f>
        <v>14</v>
      </c>
      <c r="S159" s="95">
        <f>IF(AND(H159=H$15,LEN(H159)&gt;1,Q159=1),1,0)</f>
        <v>0</v>
      </c>
      <c r="T159" s="95" t="str">
        <f t="shared" si="90"/>
        <v>Winner</v>
      </c>
      <c r="U159" s="95" t="str">
        <f>IF(T159="Winner",IF(V159&gt;V141,B145,B127),"")</f>
        <v>Broseghini</v>
      </c>
      <c r="V159" s="97">
        <f>VLOOKUP(14,X146:Y161,2,0)</f>
        <v>1</v>
      </c>
      <c r="W159" s="95">
        <v>14</v>
      </c>
      <c r="X159" s="95">
        <f t="shared" si="91"/>
        <v>14</v>
      </c>
      <c r="Y159" s="95">
        <f t="shared" si="92"/>
        <v>1</v>
      </c>
      <c r="Z159" s="95">
        <f t="shared" si="93"/>
        <v>0</v>
      </c>
    </row>
    <row r="160" spans="1:26">
      <c r="A160" s="95">
        <v>15</v>
      </c>
      <c r="B160" s="95" t="str">
        <f>Singles!I109</f>
        <v>santos</v>
      </c>
      <c r="C160" s="100" t="str">
        <f>IF(OR(LEFT(B160,LEN(B$16))=B$16,LEFT(B160,LEN(C$16))=C$16,LEN(B160)&lt;2),"","Wrong pick")</f>
        <v/>
      </c>
      <c r="G160" s="95" t="str">
        <f>IF(B160=0,"",IF(LEFT(B160,LEN(B$16))=B$16,B$16,C$16))</f>
        <v>santos</v>
      </c>
      <c r="H160" s="95" t="str">
        <f t="shared" si="83"/>
        <v/>
      </c>
      <c r="J160" s="97">
        <f>Singles!H$17</f>
        <v>1</v>
      </c>
      <c r="K160" s="95" t="str">
        <f t="shared" si="84"/>
        <v/>
      </c>
      <c r="L160" s="95" t="str">
        <f t="shared" si="85"/>
        <v/>
      </c>
      <c r="M160" s="95" t="str">
        <f t="shared" si="86"/>
        <v/>
      </c>
      <c r="N160" s="95" t="str">
        <f t="shared" si="87"/>
        <v/>
      </c>
      <c r="O160" s="95" t="str">
        <f t="shared" si="88"/>
        <v/>
      </c>
      <c r="P160" s="95" t="str">
        <f t="shared" si="89"/>
        <v/>
      </c>
      <c r="Q160" s="95">
        <f>IF(AND(G160=T$16,LEN(G160)&gt;1),1,0)</f>
        <v>0</v>
      </c>
      <c r="R160" s="97">
        <f>Singles!D$17</f>
        <v>15</v>
      </c>
      <c r="S160" s="95">
        <f>IF(AND(H160=H$16,LEN(H160)&gt;1,Q160=1),1,0)</f>
        <v>0</v>
      </c>
      <c r="T160" s="95" t="str">
        <f t="shared" si="90"/>
        <v>No</v>
      </c>
      <c r="U160" s="95" t="str">
        <f>IF(T160="Winner",IF(V160&gt;V142,B145,B127),"")</f>
        <v/>
      </c>
      <c r="V160" s="97">
        <f>VLOOKUP(15,X146:Y161,2,0)</f>
        <v>1</v>
      </c>
      <c r="W160" s="95">
        <v>15</v>
      </c>
      <c r="X160" s="95">
        <f t="shared" si="91"/>
        <v>15</v>
      </c>
      <c r="Y160" s="95">
        <f t="shared" si="92"/>
        <v>1</v>
      </c>
      <c r="Z160" s="95">
        <f t="shared" si="93"/>
        <v>0</v>
      </c>
    </row>
    <row r="161" spans="1:26">
      <c r="A161" s="95">
        <v>16</v>
      </c>
      <c r="B161" s="95" t="str">
        <f>Singles!I110</f>
        <v>lojda</v>
      </c>
      <c r="C161" s="100" t="str">
        <f>IF(OR(LEFT(B161,LEN(B$17))=B$17,LEFT(B161,LEN(C$17))=C$17,LEN(B161)&lt;2),"","Wrong pick")</f>
        <v/>
      </c>
      <c r="G161" s="95" t="str">
        <f>IF(B161=0,"",IF(LEFT(B161,LEN(B$17))=B$17,B$17,C$17))</f>
        <v>lojda</v>
      </c>
      <c r="H161" s="95" t="str">
        <f t="shared" si="83"/>
        <v/>
      </c>
      <c r="J161" s="97">
        <f>Singles!H$18</f>
        <v>1</v>
      </c>
      <c r="K161" s="95" t="str">
        <f t="shared" si="84"/>
        <v/>
      </c>
      <c r="L161" s="95" t="str">
        <f t="shared" si="85"/>
        <v/>
      </c>
      <c r="M161" s="95" t="str">
        <f t="shared" si="86"/>
        <v/>
      </c>
      <c r="N161" s="95" t="str">
        <f t="shared" si="87"/>
        <v/>
      </c>
      <c r="O161" s="95" t="str">
        <f t="shared" si="88"/>
        <v/>
      </c>
      <c r="P161" s="95" t="str">
        <f t="shared" si="89"/>
        <v/>
      </c>
      <c r="Q161" s="95">
        <f>IF(AND(G161=T$17,LEN(G161)&gt;1),1,0)</f>
        <v>0</v>
      </c>
      <c r="R161" s="97">
        <f>Singles!D$18</f>
        <v>16</v>
      </c>
      <c r="S161" s="95">
        <f>IF(AND(H161=H$17,LEN(H161)&gt;1,Q161=1),1,0)</f>
        <v>0</v>
      </c>
      <c r="T161" s="95" t="str">
        <f t="shared" si="90"/>
        <v>No</v>
      </c>
      <c r="U161" s="95" t="str">
        <f>IF(T161="Winner",IF(V161&gt;V143,B145,B127),"")</f>
        <v/>
      </c>
      <c r="V161" s="97">
        <f>VLOOKUP(16,X146:Y161,2,0)</f>
        <v>1</v>
      </c>
      <c r="W161" s="95">
        <v>16</v>
      </c>
      <c r="X161" s="95">
        <f t="shared" si="91"/>
        <v>16</v>
      </c>
      <c r="Y161" s="95">
        <f t="shared" si="92"/>
        <v>1</v>
      </c>
      <c r="Z161" s="95">
        <f t="shared" si="93"/>
        <v>0</v>
      </c>
    </row>
    <row r="162" spans="1:26">
      <c r="T162" s="95" t="s">
        <v>89</v>
      </c>
      <c r="U162" s="95" t="s">
        <v>125</v>
      </c>
      <c r="W162" s="95">
        <v>17</v>
      </c>
    </row>
    <row r="163" spans="1:26">
      <c r="A163" s="95">
        <f>IF(LEN(VLOOKUP(B163,Singles!$A$2:$B$33,2,0))&gt;0,VLOOKUP(B163,Singles!$A$2:$B$33,2,0),"")</f>
        <v>3</v>
      </c>
      <c r="B163" s="96" t="str">
        <f>Singles!J94</f>
        <v>Matthew2408</v>
      </c>
      <c r="C163" s="96">
        <v>9</v>
      </c>
      <c r="D163" s="95" t="str">
        <f>VLOOKUP(B163,Singles!$A$2:$C$33,3,0)</f>
        <v>GBR</v>
      </c>
      <c r="J163" s="95" t="s">
        <v>88</v>
      </c>
      <c r="Q163" s="95" t="s">
        <v>121</v>
      </c>
      <c r="S163" s="95" t="s">
        <v>122</v>
      </c>
      <c r="T163" s="95" t="str">
        <f>IF(LEN(A163)&gt;0,"("&amp;A163&amp;") "&amp;B163,B163)&amp;IF(LEN(D163)&gt;1," ("&amp;D163&amp;")","")</f>
        <v>(3) Matthew2408 (GBR)</v>
      </c>
      <c r="V163" s="95" t="s">
        <v>123</v>
      </c>
      <c r="Y163" s="95" t="s">
        <v>123</v>
      </c>
      <c r="Z163" s="95" t="s">
        <v>124</v>
      </c>
    </row>
    <row r="164" spans="1:26">
      <c r="A164" s="95">
        <v>1</v>
      </c>
      <c r="B164" s="95" t="str">
        <f>Singles!J95</f>
        <v>GHEM 6-4 6-3</v>
      </c>
      <c r="C164" s="99" t="str">
        <f>IF(OR(LEFT(B164,LEN(B$2))=B$2,LEFT(B164,LEN(C$2))=C$2,LEN(B164)&lt;2),"","Wrong pick")</f>
        <v/>
      </c>
      <c r="D164" s="95">
        <f t="shared" ref="D164:D179" ca="1" si="94">IF(OR(G164=G182,INDIRECT(ADDRESS(A164+1,6,1))&gt;0),0,1)</f>
        <v>1</v>
      </c>
      <c r="E164" s="95" t="str">
        <f ca="1">IF(AND(D164=1,J164=$I$2),G164&amp;", ","")&amp;IF(AND(D165=1,J165=$I$2),G165&amp;", ","")&amp;IF(AND(D166=1,J166=$I$2),G166&amp;", ","")&amp;IF(AND(D167=1,J167=$I$2),G167&amp;", ","")&amp;IF(AND(D168=1,J168=$I$2),G168&amp;", ","")&amp;IF(AND(D169=1,J169=$I$2),G169&amp;", ","")&amp;IF(AND(D170=1,J170=$I$2),G170&amp;", ","")&amp;IF(AND(D171=1,J171=$I$2),G171&amp;", ","")&amp;IF(AND(D172=1,J172=$I$2),G172&amp;", ","")&amp;IF(AND(D173=1,J173=$I$2),G173&amp;", ","")&amp;IF(AND(D174=1,J174=$I$2),G174&amp;", ","")&amp;IF(AND(D175=1,J175=$I$2),G175&amp;", ","")&amp;IF(AND(D176=1,J176=$I$2),G176&amp;", ","")&amp;IF(AND(D177=1,J177=$I$2),G177&amp;", ","")&amp;IF(AND(D178=1,J178=$I$2),G178&amp;", ","")&amp;IF(AND(D179=1,J179=$I$2),G179&amp;", ","")</f>
        <v xml:space="preserve">Ghem, Machado, Junqueira, Gaio, PODLIPBIK-CASTILLO, Duran, Michon, gonzalez, pereira, matos, giner, turini, lobkov, santos, santos, lojda, </v>
      </c>
      <c r="F164" s="95" t="str">
        <f>IF(AND(SUM(Z164:Z179)=$I$4,NOT(B163="Bye")),"Missing picks from "&amp;B163&amp;" ","")</f>
        <v/>
      </c>
      <c r="G164" s="95" t="str">
        <f>IF(B164=0,"",IF(LEFT(B164,LEN(B$2))=B$2,B$2,C$2))</f>
        <v>Ghem</v>
      </c>
      <c r="H164" s="95" t="str">
        <f t="shared" ref="H164:H179" si="95">IF(L164="","",IF(K164="PTS",IF(LEN(O164)&lt;8,"2-0","2-1"),LEFT(O164,1)&amp;"-"&amp;RIGHT(O164,1)))</f>
        <v>2-0</v>
      </c>
      <c r="I164" s="95" t="str">
        <f ca="1">IF(AND(J164=Singles!$H$21,INDIRECT(ADDRESS(A164+1,6,1))=0,NOT(INDIRECT(ADDRESS(A164+1,5,1))="")),IF(D164=0,IF(H164=H182,"",G164&amp;" "&amp;H164&amp;" v "&amp;H182&amp;", "),G164&amp;" "&amp;H164&amp;" vs. "&amp;G182&amp;" "&amp;H182&amp;", "),"")</f>
        <v xml:space="preserve">Ghem 2-0 vs.  0-0, </v>
      </c>
      <c r="J164" s="97">
        <f>Singles!H$3</f>
        <v>1</v>
      </c>
      <c r="K164" s="95" t="str">
        <f t="shared" ref="K164:K179" si="96">IF(LEN(L164)&gt;0,IF(LEN(O164)&lt;4,"SR","PTS"),"")</f>
        <v>PTS</v>
      </c>
      <c r="L164" s="95" t="str">
        <f t="shared" ref="L164:L179" si="97">TRIM(RIGHT(B164,LEN(B164)-LEN(G164)))</f>
        <v>6-4 6-3</v>
      </c>
      <c r="M164" s="95" t="str">
        <f t="shared" ref="M164:M179" si="98">SUBSTITUTE(L164,"-","")</f>
        <v>64 63</v>
      </c>
      <c r="N164" s="95" t="str">
        <f t="shared" ref="N164:N179" si="99">SUBSTITUTE(M164,","," ")</f>
        <v>64 63</v>
      </c>
      <c r="O164" s="95" t="str">
        <f t="shared" ref="O164:O179" si="100">IF(AND(LEN(TRIM(SUBSTITUTE(P164,"/","")))&gt;6,OR(LEFT(TRIM(SUBSTITUTE(P164,"/","")),2)="20",LEFT(TRIM(SUBSTITUTE(P164,"/","")),2)="21")),RIGHT(TRIM(SUBSTITUTE(P164,"/","")),LEN(TRIM(SUBSTITUTE(P164,"/","")))-3),TRIM(SUBSTITUTE(P164,"/","")))</f>
        <v>64 63</v>
      </c>
      <c r="P164" s="95" t="str">
        <f t="shared" ref="P164:P179" si="101">SUBSTITUTE(N164,":","")</f>
        <v>64 63</v>
      </c>
      <c r="Q164" s="95">
        <f>IF(AND(G164=T$2,LEN(G164)&gt;1),1,0)</f>
        <v>0</v>
      </c>
      <c r="R164" s="97">
        <f>Singles!D$3</f>
        <v>1</v>
      </c>
      <c r="S164" s="95">
        <f>IF(AND(H164=H$2,LEN(H164)&gt;1,Q164=1),1,0)</f>
        <v>0</v>
      </c>
      <c r="T164" s="95" t="str">
        <f ca="1">" SR Differences: "&amp;IF(LEN(I164&amp;I165&amp;I166&amp;I167&amp;I168&amp;I169&amp;I170&amp;I171&amp;I172&amp;I173&amp;I174&amp;I175&amp;I176&amp;I177&amp;I178&amp;I179)&lt;3,"None..",I164&amp;I165&amp;I166&amp;I167&amp;I168&amp;I169&amp;I170&amp;I171&amp;I172&amp;I173&amp;I174&amp;I175&amp;I176&amp;I177&amp;I178&amp;I179)</f>
        <v xml:space="preserve"> SR Differences: Ghem 2-0 vs.  0-0, Machado 2-0 vs.  0-0, Junqueira 2-0 vs.  0-0, Gaio 2-1 vs.  0-0, PODLIPBIK-CASTILLO 2-0 vs.  0-0, Duran 2-0 vs.  0-0, Michon 2-1 vs.  0-0, gonzalez 2-0 vs.  0-0, pereira 2-0 vs.  0-0, matos 2-0 vs.  0-0, giner 2-0 vs.  0-0, turini 2-1 vs.  0-0, lobkov 2-0 vs.  0-0, santos 2-0 vs.  0-0, santos 2-0 vs.  0-0, lojda 2-0 vs.  0-0, </v>
      </c>
      <c r="V164" s="97">
        <f>VLOOKUP(1,X164:Y179,2,0)</f>
        <v>1</v>
      </c>
      <c r="X164" s="95">
        <f t="shared" ref="X164:X179" si="102">R164</f>
        <v>1</v>
      </c>
      <c r="Y164" s="95">
        <f t="shared" ref="Y164:Y179" si="103">IF(Q164=1,IF(S164=1,4,3),IF(H164="2-1",2,1))</f>
        <v>1</v>
      </c>
      <c r="Z164" s="95">
        <f t="shared" ref="Z164:Z179" si="104">IF(AND($I$2=J164,B164=0),1,0)</f>
        <v>0</v>
      </c>
    </row>
    <row r="165" spans="1:26">
      <c r="A165" s="95">
        <v>2</v>
      </c>
      <c r="B165" s="95" t="str">
        <f>Singles!J96</f>
        <v>MACHADO 6-4 6-3</v>
      </c>
      <c r="C165" s="100" t="str">
        <f>IF(OR(LEFT(B165,LEN(B$3))=B$3,LEFT(B165,LEN(C$3))=C$3,LEN(B165)&lt;2),"","Wrong pick")</f>
        <v/>
      </c>
      <c r="D165" s="95">
        <f t="shared" ca="1" si="94"/>
        <v>1</v>
      </c>
      <c r="G165" s="95" t="str">
        <f>IF(B165=0,"",IF(LEFT(B165,LEN(B$3))=B$3,B$3,C$3))</f>
        <v>Machado</v>
      </c>
      <c r="H165" s="95" t="str">
        <f t="shared" si="95"/>
        <v>2-0</v>
      </c>
      <c r="I165" s="95" t="str">
        <f ca="1">IF(AND(J165=Singles!$H$21,INDIRECT(ADDRESS(A165+1,6,1))=0,NOT(INDIRECT(ADDRESS(A165+1,5,1))="")),IF(D165=0,IF(H165=H183,"",G165&amp;" "&amp;H165&amp;" v "&amp;H183&amp;", "),G165&amp;" "&amp;H165&amp;" vs. "&amp;G183&amp;" "&amp;H183&amp;", "),"")</f>
        <v xml:space="preserve">Machado 2-0 vs.  0-0, </v>
      </c>
      <c r="J165" s="97">
        <f>Singles!H$4</f>
        <v>1</v>
      </c>
      <c r="K165" s="95" t="str">
        <f t="shared" si="96"/>
        <v>PTS</v>
      </c>
      <c r="L165" s="95" t="str">
        <f t="shared" si="97"/>
        <v>6-4 6-3</v>
      </c>
      <c r="M165" s="95" t="str">
        <f t="shared" si="98"/>
        <v>64 63</v>
      </c>
      <c r="N165" s="95" t="str">
        <f t="shared" si="99"/>
        <v>64 63</v>
      </c>
      <c r="O165" s="95" t="str">
        <f t="shared" si="100"/>
        <v>64 63</v>
      </c>
      <c r="P165" s="95" t="str">
        <f t="shared" si="101"/>
        <v>64 63</v>
      </c>
      <c r="Q165" s="95">
        <f>IF(AND(G165=T$3,LEN(G165)&gt;1),1,0)</f>
        <v>0</v>
      </c>
      <c r="R165" s="97">
        <f>Singles!D$4</f>
        <v>2</v>
      </c>
      <c r="S165" s="95">
        <f>IF(AND(H165=H$3,LEN(H165)&gt;1,Q165=1),1,0)</f>
        <v>0</v>
      </c>
      <c r="T165" s="95" t="str">
        <f ca="1">IF(T166&gt;0,LEFT(E164,LEN(E164)-2)&amp;" vs. "&amp;LEFT(E182,LEN(E182)-2),IF(SUMIF(Singles!$H$3:$H$18,"="&amp;Singles!$H$21,Singles!$I$3:$I$18)=0,"Same winners;",""))</f>
        <v xml:space="preserve">Ghem, Machado, Junqueira, Gaio, PODLIPBIK-CASTILLO, Duran, Michon, gonzalez, pereira, matos, giner, turini, lobkov, santos, santos, lojda vs. , , , , , , , , , , , , , , , </v>
      </c>
      <c r="V165" s="97">
        <f>VLOOKUP(2,X164:Y179,2,0)</f>
        <v>1</v>
      </c>
      <c r="X165" s="95">
        <f t="shared" si="102"/>
        <v>2</v>
      </c>
      <c r="Y165" s="95">
        <f t="shared" si="103"/>
        <v>1</v>
      </c>
      <c r="Z165" s="95">
        <f t="shared" si="104"/>
        <v>0</v>
      </c>
    </row>
    <row r="166" spans="1:26">
      <c r="A166" s="95">
        <v>3</v>
      </c>
      <c r="B166" s="95" t="str">
        <f>Singles!J97</f>
        <v>JUNQUEIRA 6-4 6-3</v>
      </c>
      <c r="C166" s="100" t="str">
        <f>IF(OR(LEFT(B166,LEN(B$4))=B$4,LEFT(B166,LEN(C$4))=C$4,LEN(B166)&lt;2),"","Wrong pick")</f>
        <v/>
      </c>
      <c r="D166" s="95">
        <f t="shared" ca="1" si="94"/>
        <v>1</v>
      </c>
      <c r="G166" s="95" t="str">
        <f>IF(B166=0,"",IF(LEFT(B166,LEN(B$4))=B$4,B$4,C$4))</f>
        <v>Junqueira</v>
      </c>
      <c r="H166" s="95" t="str">
        <f t="shared" si="95"/>
        <v>2-0</v>
      </c>
      <c r="I166" s="95" t="str">
        <f ca="1">IF(AND(J166=Singles!$H$21,INDIRECT(ADDRESS(A166+1,6,1))=0,NOT(INDIRECT(ADDRESS(A166+1,5,1))="")),IF(D166=0,IF(H166=H184,"",G166&amp;" "&amp;H166&amp;" v "&amp;H184&amp;", "),G166&amp;" "&amp;H166&amp;" vs. "&amp;G184&amp;" "&amp;H184&amp;", "),"")</f>
        <v xml:space="preserve">Junqueira 2-0 vs.  0-0, </v>
      </c>
      <c r="J166" s="97">
        <f>Singles!H$5</f>
        <v>1</v>
      </c>
      <c r="K166" s="95" t="str">
        <f t="shared" si="96"/>
        <v>PTS</v>
      </c>
      <c r="L166" s="95" t="str">
        <f t="shared" si="97"/>
        <v>6-4 6-3</v>
      </c>
      <c r="M166" s="95" t="str">
        <f t="shared" si="98"/>
        <v>64 63</v>
      </c>
      <c r="N166" s="95" t="str">
        <f t="shared" si="99"/>
        <v>64 63</v>
      </c>
      <c r="O166" s="95" t="str">
        <f t="shared" si="100"/>
        <v>64 63</v>
      </c>
      <c r="P166" s="95" t="str">
        <f t="shared" si="101"/>
        <v>64 63</v>
      </c>
      <c r="Q166" s="95">
        <f>IF(AND(G166=T$4,LEN(G166)&gt;1),1,0)</f>
        <v>0</v>
      </c>
      <c r="R166" s="97">
        <f>Singles!D$5</f>
        <v>3</v>
      </c>
      <c r="S166" s="95">
        <f>IF(AND(H166=H$4,LEN(H166)&gt;1,Q166=1),1,0)</f>
        <v>0</v>
      </c>
      <c r="T166" s="101">
        <f ca="1">SUMIF(J164:J179,$I$2,D164:D179)</f>
        <v>16</v>
      </c>
      <c r="V166" s="97">
        <f>VLOOKUP(3,X164:Y179,2,0)</f>
        <v>1</v>
      </c>
      <c r="X166" s="95">
        <f t="shared" si="102"/>
        <v>3</v>
      </c>
      <c r="Y166" s="95">
        <f t="shared" si="103"/>
        <v>1</v>
      </c>
      <c r="Z166" s="95">
        <f t="shared" si="104"/>
        <v>0</v>
      </c>
    </row>
    <row r="167" spans="1:26">
      <c r="A167" s="95">
        <v>4</v>
      </c>
      <c r="B167" s="95" t="str">
        <f>Singles!J98</f>
        <v>GAIO 4-6 6-4 6-3</v>
      </c>
      <c r="C167" s="100" t="str">
        <f>IF(OR(LEFT(B167,LEN(B$5))=B$5,LEFT(B167,LEN(C$5))=C$5,LEN(B167)&lt;2),"","Wrong pick")</f>
        <v/>
      </c>
      <c r="D167" s="95">
        <f t="shared" ca="1" si="94"/>
        <v>1</v>
      </c>
      <c r="G167" s="95" t="str">
        <f>IF(B167=0,"",IF(LEFT(B167,LEN(B$5))=B$5,B$5,C$5))</f>
        <v>Gaio</v>
      </c>
      <c r="H167" s="95" t="str">
        <f t="shared" si="95"/>
        <v>2-1</v>
      </c>
      <c r="I167" s="95" t="str">
        <f ca="1">IF(AND(J167=Singles!$H$21,INDIRECT(ADDRESS(A167+1,6,1))=0,NOT(INDIRECT(ADDRESS(A167+1,5,1))="")),IF(D167=0,IF(H167=H185,"",G167&amp;" "&amp;H167&amp;" v "&amp;H185&amp;", "),G167&amp;" "&amp;H167&amp;" vs. "&amp;G185&amp;" "&amp;H185&amp;", "),"")</f>
        <v xml:space="preserve">Gaio 2-1 vs.  0-0, </v>
      </c>
      <c r="J167" s="97">
        <f>Singles!H$6</f>
        <v>1</v>
      </c>
      <c r="K167" s="95" t="str">
        <f t="shared" si="96"/>
        <v>PTS</v>
      </c>
      <c r="L167" s="95" t="str">
        <f t="shared" si="97"/>
        <v>4-6 6-4 6-3</v>
      </c>
      <c r="M167" s="95" t="str">
        <f t="shared" si="98"/>
        <v>46 64 63</v>
      </c>
      <c r="N167" s="95" t="str">
        <f t="shared" si="99"/>
        <v>46 64 63</v>
      </c>
      <c r="O167" s="95" t="str">
        <f t="shared" si="100"/>
        <v>46 64 63</v>
      </c>
      <c r="P167" s="95" t="str">
        <f t="shared" si="101"/>
        <v>46 64 63</v>
      </c>
      <c r="Q167" s="95">
        <f>IF(AND(G167=T$5,LEN(G167)&gt;1),1,0)</f>
        <v>0</v>
      </c>
      <c r="R167" s="97">
        <f>Singles!D$6</f>
        <v>4</v>
      </c>
      <c r="S167" s="95">
        <f>IF(AND(H167=H$5,LEN(H167)&gt;1,Q167=1),1,0)</f>
        <v>0</v>
      </c>
      <c r="T167" s="102" t="str">
        <f>IF(T169&lt;10,"0","")&amp;T169&amp;":"&amp;IF(T170&lt;10,"0","")&amp;T170&amp;" | [b]"&amp;IF(LEN(U167)&gt;0,U167,T163&amp;"[/b] vs. [b]"&amp;T181&amp;"[/b]"&amp;IF(Singles!$H$21&gt;1," (SR "&amp;U169&amp;":"&amp;U170&amp;")","")&amp;" - "&amp;IF(COUNTIF(C164:C197,"=Wrong Pick")&gt;0,"Incorrect pick, probably a spelling mistake",IF(AND(F164="",F182=""),T165&amp;IF(AND(OR(AND(Singles!$H$20&gt;1,Singles!$H$21&lt;Singles!$H$20),MOD(T166+T169+T170,2)=0),NOT(Singles!$H$23="No")),LEFT(T164,LEN(T164)-2),""),F164&amp;F182)))</f>
        <v xml:space="preserve">00:00 | [b](3) Matthew2408 (GBR)[/b] vs. [b]pinarodrigues (POR)[/b] - Missing picks from pinarodrigues </v>
      </c>
      <c r="U167" s="95" t="str">
        <f>IF(B163="Bye","Bye[/b] vs. [b][color=blue]"&amp;T181&amp;"[/color][/b]",IF(B181="Bye","[color=blue]"&amp;T163&amp;"[/color][/b] vs. [b]Bye[/b]",""))</f>
        <v/>
      </c>
      <c r="V167" s="97">
        <f>VLOOKUP(4,X164:Y179,2,0)</f>
        <v>2</v>
      </c>
      <c r="X167" s="95">
        <f t="shared" si="102"/>
        <v>4</v>
      </c>
      <c r="Y167" s="95">
        <f t="shared" si="103"/>
        <v>2</v>
      </c>
      <c r="Z167" s="95">
        <f t="shared" si="104"/>
        <v>0</v>
      </c>
    </row>
    <row r="168" spans="1:26">
      <c r="A168" s="95">
        <v>5</v>
      </c>
      <c r="B168" s="95" t="str">
        <f>Singles!J99</f>
        <v>PODLIPBIK-CASTILLO 6-4 6-3</v>
      </c>
      <c r="C168" s="100" t="str">
        <f>IF(OR(LEFT(B168,LEN(B$6))=B$6,LEFT(B168,LEN(C$6))=C$6,LEN(B168)&lt;2),"","Wrong pick")</f>
        <v/>
      </c>
      <c r="D168" s="95">
        <f t="shared" ca="1" si="94"/>
        <v>1</v>
      </c>
      <c r="G168" s="95" t="str">
        <f>IF(B168=0,"",IF(LEFT(B168,LEN(B$6))=B$6,B$6,C$6))</f>
        <v>PODLIPBIK-CASTILLO</v>
      </c>
      <c r="H168" s="95" t="str">
        <f t="shared" si="95"/>
        <v>2-0</v>
      </c>
      <c r="I168" s="95" t="str">
        <f ca="1">IF(AND(J168=Singles!$H$21,INDIRECT(ADDRESS(A168+1,6,1))=0,NOT(INDIRECT(ADDRESS(A168+1,5,1))="")),IF(D168=0,IF(H168=H186,"",G168&amp;" "&amp;H168&amp;" v "&amp;H186&amp;", "),G168&amp;" "&amp;H168&amp;" vs. "&amp;G186&amp;" "&amp;H186&amp;", "),"")</f>
        <v xml:space="preserve">PODLIPBIK-CASTILLO 2-0 vs.  0-0, </v>
      </c>
      <c r="J168" s="97">
        <f>Singles!H$7</f>
        <v>1</v>
      </c>
      <c r="K168" s="95" t="str">
        <f t="shared" si="96"/>
        <v>PTS</v>
      </c>
      <c r="L168" s="95" t="str">
        <f t="shared" si="97"/>
        <v>6-4 6-3</v>
      </c>
      <c r="M168" s="95" t="str">
        <f t="shared" si="98"/>
        <v>64 63</v>
      </c>
      <c r="N168" s="95" t="str">
        <f t="shared" si="99"/>
        <v>64 63</v>
      </c>
      <c r="O168" s="95" t="str">
        <f t="shared" si="100"/>
        <v>64 63</v>
      </c>
      <c r="P168" s="95" t="str">
        <f t="shared" si="101"/>
        <v>64 63</v>
      </c>
      <c r="Q168" s="95">
        <f>IF(AND(G168=T$6,LEN(G168)&gt;1),1,0)</f>
        <v>0</v>
      </c>
      <c r="R168" s="97">
        <f>Singles!D$7</f>
        <v>5</v>
      </c>
      <c r="S168" s="95">
        <f>IF(AND(H168=H$6,LEN(H168)&gt;1,Q168=1),1,0)</f>
        <v>0</v>
      </c>
      <c r="T168" s="103" t="str">
        <f>IF(Singles!$H$22=$F$18,IF(T169&gt;T170,B163,IF(T169&lt;T170,B181,IF(U169&gt;U170,B163,IF(U169&lt;U170,B181,T172)))),"No decision yet")</f>
        <v>No decision yet</v>
      </c>
      <c r="U168" s="104" t="str">
        <f>IF(T169&lt;10,"0","")&amp;T169&amp;":"&amp;IF(T170&lt;10,"0","")&amp;T170&amp;" | "&amp;IF(AND(A163&gt;0,A163&lt;33,B163=T168),"[b][color=Blue]"&amp;T163&amp;"[/color][/b]",IF(B163=T168,"[color=Blue]"&amp;T163&amp;"[/color]",IF(AND(A163&gt;0,A163&lt;33),"[b]"&amp;T163&amp;"[/b]",T163)))&amp;" vs. "&amp;IF(AND(A181&gt;0,A181&lt;33,B181=T168),"[b][color=Blue]"&amp;T181&amp;"[/color][/b]",IF(B181=T168,"[color=Blue]"&amp;T181&amp;"[/color]",IF(AND(A181&gt;0,A181&lt;33),"[b]"&amp;T181&amp;"[/b]",T181)))&amp;IF(OR(Singles!$B$40="yes",T169=T170)," #SRs: "&amp;U169&amp;"-"&amp;U170,"")&amp;IF(AND(T169=T170,U169=U170,U172&lt;17,Singles!$H$22=$F$18),", Shootout: SR"&amp;U172,"")</f>
        <v>00:00 | [b](3) Matthew2408 (GBR)[/b] vs. pinarodrigues (POR) #SRs: 0-0</v>
      </c>
      <c r="V168" s="97">
        <f>VLOOKUP(5,X164:Y179,2,0)</f>
        <v>1</v>
      </c>
      <c r="X168" s="95">
        <f t="shared" si="102"/>
        <v>5</v>
      </c>
      <c r="Y168" s="95">
        <f t="shared" si="103"/>
        <v>1</v>
      </c>
      <c r="Z168" s="95">
        <f t="shared" si="104"/>
        <v>0</v>
      </c>
    </row>
    <row r="169" spans="1:26">
      <c r="A169" s="95">
        <v>6</v>
      </c>
      <c r="B169" s="95" t="str">
        <f>Singles!J100</f>
        <v>DURAN 6-4 6-3</v>
      </c>
      <c r="C169" s="100" t="str">
        <f>IF(OR(LEFT(B169,LEN(B$7))=B$7,LEFT(B169,LEN(C$7))=C$7,LEN(B169)&lt;2),"","Wrong pick")</f>
        <v/>
      </c>
      <c r="D169" s="95">
        <f t="shared" ca="1" si="94"/>
        <v>1</v>
      </c>
      <c r="G169" s="95" t="str">
        <f>IF(B169=0,"",IF(LEFT(B169,LEN(B$7))=B$7,B$7,C$7))</f>
        <v>Duran</v>
      </c>
      <c r="H169" s="95" t="str">
        <f t="shared" si="95"/>
        <v>2-0</v>
      </c>
      <c r="I169" s="95" t="str">
        <f ca="1">IF(AND(J169=Singles!$H$21,INDIRECT(ADDRESS(A169+1,6,1))=0,NOT(INDIRECT(ADDRESS(A169+1,5,1))="")),IF(D169=0,IF(H169=H187,"",G169&amp;" "&amp;H169&amp;" v "&amp;H187&amp;", "),G169&amp;" "&amp;H169&amp;" vs. "&amp;G187&amp;" "&amp;H187&amp;", "),"")</f>
        <v xml:space="preserve">Duran 2-0 vs.  0-0, </v>
      </c>
      <c r="J169" s="97">
        <f>Singles!H$8</f>
        <v>1</v>
      </c>
      <c r="K169" s="95" t="str">
        <f t="shared" si="96"/>
        <v>PTS</v>
      </c>
      <c r="L169" s="95" t="str">
        <f t="shared" si="97"/>
        <v>6-4 6-3</v>
      </c>
      <c r="M169" s="95" t="str">
        <f t="shared" si="98"/>
        <v>64 63</v>
      </c>
      <c r="N169" s="95" t="str">
        <f t="shared" si="99"/>
        <v>64 63</v>
      </c>
      <c r="O169" s="95" t="str">
        <f t="shared" si="100"/>
        <v>64 63</v>
      </c>
      <c r="P169" s="95" t="str">
        <f t="shared" si="101"/>
        <v>64 63</v>
      </c>
      <c r="Q169" s="95">
        <f>IF(AND(G169=T$7,LEN(G169)&gt;1),1,0)</f>
        <v>0</v>
      </c>
      <c r="R169" s="97">
        <f>Singles!D$8</f>
        <v>6</v>
      </c>
      <c r="S169" s="95">
        <f>IF(AND(H169=H$7,LEN(H169)&gt;1,Q169=1),1,0)</f>
        <v>0</v>
      </c>
      <c r="T169" s="105">
        <f>SUM(Q164:Q179)</f>
        <v>0</v>
      </c>
      <c r="U169" s="97">
        <f>SUM(S164:S179)</f>
        <v>0</v>
      </c>
      <c r="V169" s="97">
        <f>VLOOKUP(6,X164:Y179,2,0)</f>
        <v>1</v>
      </c>
      <c r="X169" s="95">
        <f t="shared" si="102"/>
        <v>6</v>
      </c>
      <c r="Y169" s="95">
        <f t="shared" si="103"/>
        <v>1</v>
      </c>
      <c r="Z169" s="95">
        <f t="shared" si="104"/>
        <v>0</v>
      </c>
    </row>
    <row r="170" spans="1:26">
      <c r="A170" s="95">
        <v>7</v>
      </c>
      <c r="B170" s="95" t="str">
        <f>Singles!J101</f>
        <v>MICHON 6-4 3-6 6-4</v>
      </c>
      <c r="C170" s="100" t="str">
        <f>IF(OR(LEFT(B170,LEN(B$8))=B$8,LEFT(B170,LEN(C$8))=C$8,LEN(B170)&lt;2),"","Wrong pick")</f>
        <v/>
      </c>
      <c r="D170" s="95">
        <f t="shared" ca="1" si="94"/>
        <v>1</v>
      </c>
      <c r="G170" s="95" t="str">
        <f>IF(B170=0,"",IF(LEFT(B170,LEN(B$8))=B$8,B$8,C$8))</f>
        <v>Michon</v>
      </c>
      <c r="H170" s="95" t="str">
        <f t="shared" si="95"/>
        <v>2-1</v>
      </c>
      <c r="I170" s="95" t="str">
        <f ca="1">IF(AND(J170=Singles!$H$21,INDIRECT(ADDRESS(A170+1,6,1))=0,NOT(INDIRECT(ADDRESS(A170+1,5,1))="")),IF(D170=0,IF(H170=H188,"",G170&amp;" "&amp;H170&amp;" v "&amp;H188&amp;", "),G170&amp;" "&amp;H170&amp;" vs. "&amp;G188&amp;" "&amp;H188&amp;", "),"")</f>
        <v xml:space="preserve">Michon 2-1 vs.  0-0, </v>
      </c>
      <c r="J170" s="97">
        <f>Singles!H$9</f>
        <v>1</v>
      </c>
      <c r="K170" s="95" t="str">
        <f t="shared" si="96"/>
        <v>PTS</v>
      </c>
      <c r="L170" s="95" t="str">
        <f t="shared" si="97"/>
        <v>6-4 3-6 6-4</v>
      </c>
      <c r="M170" s="95" t="str">
        <f t="shared" si="98"/>
        <v>64 36 64</v>
      </c>
      <c r="N170" s="95" t="str">
        <f t="shared" si="99"/>
        <v>64 36 64</v>
      </c>
      <c r="O170" s="95" t="str">
        <f t="shared" si="100"/>
        <v>64 36 64</v>
      </c>
      <c r="P170" s="95" t="str">
        <f t="shared" si="101"/>
        <v>64 36 64</v>
      </c>
      <c r="Q170" s="95">
        <f>IF(AND(G170=T$8,LEN(G170)&gt;1),1,0)</f>
        <v>0</v>
      </c>
      <c r="R170" s="97">
        <f>Singles!D$9</f>
        <v>7</v>
      </c>
      <c r="S170" s="95">
        <f>IF(AND(H170=H$8,LEN(H170)&gt;1,Q170=1),1,0)</f>
        <v>0</v>
      </c>
      <c r="T170" s="105">
        <f>SUM(Q182:Q197)</f>
        <v>0</v>
      </c>
      <c r="U170" s="97">
        <f>SUM(S182:S197)</f>
        <v>0</v>
      </c>
      <c r="V170" s="97">
        <f>VLOOKUP(7,X164:Y179,2,0)</f>
        <v>2</v>
      </c>
      <c r="X170" s="95">
        <f t="shared" si="102"/>
        <v>7</v>
      </c>
      <c r="Y170" s="95">
        <f t="shared" si="103"/>
        <v>2</v>
      </c>
      <c r="Z170" s="95">
        <f t="shared" si="104"/>
        <v>0</v>
      </c>
    </row>
    <row r="171" spans="1:26">
      <c r="A171" s="95">
        <v>8</v>
      </c>
      <c r="B171" s="95" t="str">
        <f>Singles!J102</f>
        <v>GONZALEZ 6-4 6-3</v>
      </c>
      <c r="C171" s="100" t="str">
        <f>IF(OR(LEFT(B171,LEN(B$9))=B$9,LEFT(B171,LEN(C$9))=C$9,LEN(B171)&lt;2),"","Wrong pick")</f>
        <v/>
      </c>
      <c r="D171" s="95">
        <f t="shared" ca="1" si="94"/>
        <v>1</v>
      </c>
      <c r="G171" s="95" t="str">
        <f>IF(B171=0,"",IF(LEFT(B171,LEN(B$9))=B$9,B$9,C$9))</f>
        <v>gonzalez</v>
      </c>
      <c r="H171" s="95" t="str">
        <f t="shared" si="95"/>
        <v>2-0</v>
      </c>
      <c r="I171" s="95" t="str">
        <f ca="1">IF(AND(J171=Singles!$H$21,INDIRECT(ADDRESS(A171+1,6,1))=0,NOT(INDIRECT(ADDRESS(A171+1,5,1))="")),IF(D171=0,IF(H171=H189,"",G171&amp;" "&amp;H171&amp;" v "&amp;H189&amp;", "),G171&amp;" "&amp;H171&amp;" vs. "&amp;G189&amp;" "&amp;H189&amp;", "),"")</f>
        <v xml:space="preserve">gonzalez 2-0 vs.  0-0, </v>
      </c>
      <c r="J171" s="97">
        <f>Singles!H$10</f>
        <v>1</v>
      </c>
      <c r="K171" s="95" t="str">
        <f t="shared" si="96"/>
        <v>PTS</v>
      </c>
      <c r="L171" s="95" t="str">
        <f t="shared" si="97"/>
        <v>6-4 6-3</v>
      </c>
      <c r="M171" s="95" t="str">
        <f t="shared" si="98"/>
        <v>64 63</v>
      </c>
      <c r="N171" s="95" t="str">
        <f t="shared" si="99"/>
        <v>64 63</v>
      </c>
      <c r="O171" s="95" t="str">
        <f t="shared" si="100"/>
        <v>64 63</v>
      </c>
      <c r="P171" s="95" t="str">
        <f t="shared" si="101"/>
        <v>64 63</v>
      </c>
      <c r="Q171" s="95">
        <f>IF(AND(G171=T$9,LEN(G171)&gt;1),1,0)</f>
        <v>0</v>
      </c>
      <c r="R171" s="97">
        <f>Singles!D$10</f>
        <v>8</v>
      </c>
      <c r="S171" s="95">
        <f>IF(AND(H171=H$9,LEN(H171)&gt;1,Q171=1),1,0)</f>
        <v>0</v>
      </c>
      <c r="V171" s="97">
        <f>VLOOKUP(8,X164:Y179,2,0)</f>
        <v>1</v>
      </c>
      <c r="X171" s="95">
        <f t="shared" si="102"/>
        <v>8</v>
      </c>
      <c r="Y171" s="95">
        <f t="shared" si="103"/>
        <v>1</v>
      </c>
      <c r="Z171" s="95">
        <f t="shared" si="104"/>
        <v>0</v>
      </c>
    </row>
    <row r="172" spans="1:26">
      <c r="A172" s="95">
        <v>9</v>
      </c>
      <c r="B172" s="95" t="str">
        <f>Singles!J103</f>
        <v>PEREIRA 6-4 6-3</v>
      </c>
      <c r="C172" s="100" t="str">
        <f>IF(OR(LEFT(B172,LEN(B$10))=B$10,LEFT(B172,LEN(C$10))=C$10,LEN(B172)&lt;2),"","Wrong pick")</f>
        <v/>
      </c>
      <c r="D172" s="95">
        <f t="shared" ca="1" si="94"/>
        <v>1</v>
      </c>
      <c r="G172" s="95" t="str">
        <f>IF(B172=0,"",IF(LEFT(B172,LEN(B$10))=B$10,B$10,C$10))</f>
        <v>pereira</v>
      </c>
      <c r="H172" s="95" t="str">
        <f t="shared" si="95"/>
        <v>2-0</v>
      </c>
      <c r="I172" s="95" t="str">
        <f ca="1">IF(AND(J172=Singles!$H$21,INDIRECT(ADDRESS(A172+1,6,1))=0,NOT(INDIRECT(ADDRESS(A172+1,5,1))="")),IF(D172=0,IF(H172=H190,"",G172&amp;" "&amp;H172&amp;" v "&amp;H190&amp;", "),G172&amp;" "&amp;H172&amp;" vs. "&amp;G190&amp;" "&amp;H190&amp;", "),"")</f>
        <v xml:space="preserve">pereira 2-0 vs.  0-0, </v>
      </c>
      <c r="J172" s="97">
        <f>Singles!H$11</f>
        <v>1</v>
      </c>
      <c r="K172" s="95" t="str">
        <f t="shared" si="96"/>
        <v>PTS</v>
      </c>
      <c r="L172" s="95" t="str">
        <f t="shared" si="97"/>
        <v>6-4 6-3</v>
      </c>
      <c r="M172" s="95" t="str">
        <f t="shared" si="98"/>
        <v>64 63</v>
      </c>
      <c r="N172" s="95" t="str">
        <f t="shared" si="99"/>
        <v>64 63</v>
      </c>
      <c r="O172" s="95" t="str">
        <f t="shared" si="100"/>
        <v>64 63</v>
      </c>
      <c r="P172" s="95" t="str">
        <f t="shared" si="101"/>
        <v>64 63</v>
      </c>
      <c r="Q172" s="95">
        <f>IF(AND(G172=T$10,LEN(G172)&gt;1),1,0)</f>
        <v>0</v>
      </c>
      <c r="R172" s="97">
        <f>Singles!D$11</f>
        <v>9</v>
      </c>
      <c r="S172" s="95">
        <f>IF(AND(H172=H$10,LEN(H172)&gt;1,Q172=1),1,0)</f>
        <v>0</v>
      </c>
      <c r="T172" s="95" t="str">
        <f>VLOOKUP("Winner",T182:U198,2,0)</f>
        <v>Matthew2408</v>
      </c>
      <c r="U172" s="95">
        <f>VLOOKUP(T172,U182:W198,3,0)</f>
        <v>4</v>
      </c>
      <c r="V172" s="97">
        <f>VLOOKUP(9,X164:Y179,2,0)</f>
        <v>1</v>
      </c>
      <c r="X172" s="95">
        <f t="shared" si="102"/>
        <v>9</v>
      </c>
      <c r="Y172" s="95">
        <f t="shared" si="103"/>
        <v>1</v>
      </c>
      <c r="Z172" s="95">
        <f t="shared" si="104"/>
        <v>0</v>
      </c>
    </row>
    <row r="173" spans="1:26">
      <c r="A173" s="95">
        <v>10</v>
      </c>
      <c r="B173" s="95" t="str">
        <f>Singles!J104</f>
        <v>MATOS 6-4 6-3</v>
      </c>
      <c r="C173" s="100" t="str">
        <f>IF(OR(LEFT(B173,LEN(B$11))=B$11,LEFT(B173,LEN(C$11))=C$11,LEN(B173)&lt;2),"","Wrong pick")</f>
        <v/>
      </c>
      <c r="D173" s="95">
        <f t="shared" ca="1" si="94"/>
        <v>1</v>
      </c>
      <c r="G173" s="95" t="str">
        <f>IF(B173=0,"",IF(LEFT(B173,LEN(B$11))=B$11,B$11,C$11))</f>
        <v>matos</v>
      </c>
      <c r="H173" s="95" t="str">
        <f t="shared" si="95"/>
        <v>2-0</v>
      </c>
      <c r="I173" s="95" t="str">
        <f ca="1">IF(AND(J173=Singles!$H$21,INDIRECT(ADDRESS(A173+1,6,1))=0,NOT(INDIRECT(ADDRESS(A173+1,5,1))="")),IF(D173=0,IF(H173=H191,"",G173&amp;" "&amp;H173&amp;" v "&amp;H191&amp;", "),G173&amp;" "&amp;H173&amp;" vs. "&amp;G191&amp;" "&amp;H191&amp;", "),"")</f>
        <v xml:space="preserve">matos 2-0 vs.  0-0, </v>
      </c>
      <c r="J173" s="97">
        <f>Singles!H$12</f>
        <v>1</v>
      </c>
      <c r="K173" s="95" t="str">
        <f t="shared" si="96"/>
        <v>PTS</v>
      </c>
      <c r="L173" s="95" t="str">
        <f t="shared" si="97"/>
        <v>6-4 6-3</v>
      </c>
      <c r="M173" s="95" t="str">
        <f t="shared" si="98"/>
        <v>64 63</v>
      </c>
      <c r="N173" s="95" t="str">
        <f t="shared" si="99"/>
        <v>64 63</v>
      </c>
      <c r="O173" s="95" t="str">
        <f t="shared" si="100"/>
        <v>64 63</v>
      </c>
      <c r="P173" s="95" t="str">
        <f t="shared" si="101"/>
        <v>64 63</v>
      </c>
      <c r="Q173" s="95">
        <f>IF(AND(G173=T$11,LEN(G173)&gt;1),1,0)</f>
        <v>0</v>
      </c>
      <c r="R173" s="97">
        <f>Singles!D$12</f>
        <v>10</v>
      </c>
      <c r="S173" s="95">
        <f>IF(AND(H173=H$11,LEN(H173)&gt;1,Q173=1),1,0)</f>
        <v>0</v>
      </c>
      <c r="V173" s="97">
        <f>VLOOKUP(10,X164:Y179,2,0)</f>
        <v>1</v>
      </c>
      <c r="X173" s="95">
        <f t="shared" si="102"/>
        <v>10</v>
      </c>
      <c r="Y173" s="95">
        <f t="shared" si="103"/>
        <v>1</v>
      </c>
      <c r="Z173" s="95">
        <f t="shared" si="104"/>
        <v>0</v>
      </c>
    </row>
    <row r="174" spans="1:26">
      <c r="A174" s="95">
        <v>11</v>
      </c>
      <c r="B174" s="95" t="str">
        <f>Singles!J105</f>
        <v>GINER 6-4 6-3</v>
      </c>
      <c r="C174" s="100" t="str">
        <f>IF(OR(LEFT(B174,LEN(B$12))=B$12,LEFT(B174,LEN(C$12))=C$12,LEN(B174)&lt;2),"","Wrong pick")</f>
        <v/>
      </c>
      <c r="D174" s="95">
        <f t="shared" ca="1" si="94"/>
        <v>1</v>
      </c>
      <c r="G174" s="95" t="str">
        <f>IF(B174=0,"",IF(LEFT(B174,LEN(B$12))=B$12,B$12,C$12))</f>
        <v>giner</v>
      </c>
      <c r="H174" s="95" t="str">
        <f t="shared" si="95"/>
        <v>2-0</v>
      </c>
      <c r="I174" s="95" t="str">
        <f ca="1">IF(AND(J174=Singles!$H$21,INDIRECT(ADDRESS(A174+1,6,1))=0,NOT(INDIRECT(ADDRESS(A174+1,5,1))="")),IF(D174=0,IF(H174=H192,"",G174&amp;" "&amp;H174&amp;" v "&amp;H192&amp;", "),G174&amp;" "&amp;H174&amp;" vs. "&amp;G192&amp;" "&amp;H192&amp;", "),"")</f>
        <v xml:space="preserve">giner 2-0 vs.  0-0, </v>
      </c>
      <c r="J174" s="97">
        <f>Singles!H$13</f>
        <v>1</v>
      </c>
      <c r="K174" s="95" t="str">
        <f t="shared" si="96"/>
        <v>PTS</v>
      </c>
      <c r="L174" s="95" t="str">
        <f t="shared" si="97"/>
        <v>6-4 6-3</v>
      </c>
      <c r="M174" s="95" t="str">
        <f t="shared" si="98"/>
        <v>64 63</v>
      </c>
      <c r="N174" s="95" t="str">
        <f t="shared" si="99"/>
        <v>64 63</v>
      </c>
      <c r="O174" s="95" t="str">
        <f t="shared" si="100"/>
        <v>64 63</v>
      </c>
      <c r="P174" s="95" t="str">
        <f t="shared" si="101"/>
        <v>64 63</v>
      </c>
      <c r="Q174" s="95">
        <f>IF(AND(G174=T$12,LEN(G174)&gt;1),1,0)</f>
        <v>0</v>
      </c>
      <c r="R174" s="97">
        <f>Singles!D$13</f>
        <v>11</v>
      </c>
      <c r="S174" s="95">
        <f>IF(AND(H174=H$12,LEN(H174)&gt;1,Q174=1),1,0)</f>
        <v>0</v>
      </c>
      <c r="V174" s="97">
        <f>VLOOKUP(11,X164:Y179,2,0)</f>
        <v>1</v>
      </c>
      <c r="X174" s="95">
        <f t="shared" si="102"/>
        <v>11</v>
      </c>
      <c r="Y174" s="95">
        <f t="shared" si="103"/>
        <v>1</v>
      </c>
      <c r="Z174" s="95">
        <f t="shared" si="104"/>
        <v>0</v>
      </c>
    </row>
    <row r="175" spans="1:26">
      <c r="A175" s="95">
        <v>12</v>
      </c>
      <c r="B175" s="95" t="str">
        <f>Singles!J106</f>
        <v>TURINI 4-6 6-4 6-3</v>
      </c>
      <c r="C175" s="100" t="str">
        <f>IF(OR(LEFT(B175,LEN(B$13))=B$13,LEFT(B175,LEN(C$13))=C$13,LEN(B175)&lt;2),"","Wrong pick")</f>
        <v/>
      </c>
      <c r="D175" s="95">
        <f t="shared" ca="1" si="94"/>
        <v>1</v>
      </c>
      <c r="G175" s="95" t="str">
        <f>IF(B175=0,"",IF(LEFT(B175,LEN(B$13))=B$13,B$13,C$13))</f>
        <v>turini</v>
      </c>
      <c r="H175" s="95" t="str">
        <f t="shared" si="95"/>
        <v>2-1</v>
      </c>
      <c r="I175" s="95" t="str">
        <f ca="1">IF(AND(J175=Singles!$H$21,INDIRECT(ADDRESS(A175+1,6,1))=0,NOT(INDIRECT(ADDRESS(A175+1,5,1))="")),IF(D175=0,IF(H175=H193,"",G175&amp;" "&amp;H175&amp;" v "&amp;H193&amp;", "),G175&amp;" "&amp;H175&amp;" vs. "&amp;G193&amp;" "&amp;H193&amp;", "),"")</f>
        <v xml:space="preserve">turini 2-1 vs.  0-0, </v>
      </c>
      <c r="J175" s="97">
        <f>Singles!H$14</f>
        <v>1</v>
      </c>
      <c r="K175" s="95" t="str">
        <f t="shared" si="96"/>
        <v>PTS</v>
      </c>
      <c r="L175" s="95" t="str">
        <f t="shared" si="97"/>
        <v>4-6 6-4 6-3</v>
      </c>
      <c r="M175" s="95" t="str">
        <f t="shared" si="98"/>
        <v>46 64 63</v>
      </c>
      <c r="N175" s="95" t="str">
        <f t="shared" si="99"/>
        <v>46 64 63</v>
      </c>
      <c r="O175" s="95" t="str">
        <f t="shared" si="100"/>
        <v>46 64 63</v>
      </c>
      <c r="P175" s="95" t="str">
        <f t="shared" si="101"/>
        <v>46 64 63</v>
      </c>
      <c r="Q175" s="95">
        <f>IF(AND(G175=T$13,LEN(G175)&gt;1),1,0)</f>
        <v>0</v>
      </c>
      <c r="R175" s="97">
        <f>Singles!D$14</f>
        <v>12</v>
      </c>
      <c r="S175" s="95">
        <f>IF(AND(H175=H$13,LEN(H175)&gt;1,Q175=1),1,0)</f>
        <v>0</v>
      </c>
      <c r="V175" s="97">
        <f>VLOOKUP(12,X164:Y179,2,0)</f>
        <v>2</v>
      </c>
      <c r="X175" s="95">
        <f t="shared" si="102"/>
        <v>12</v>
      </c>
      <c r="Y175" s="95">
        <f t="shared" si="103"/>
        <v>2</v>
      </c>
      <c r="Z175" s="95">
        <f t="shared" si="104"/>
        <v>0</v>
      </c>
    </row>
    <row r="176" spans="1:26">
      <c r="A176" s="95">
        <v>13</v>
      </c>
      <c r="B176" s="95" t="str">
        <f>Singles!J107</f>
        <v>LOBKOV 6-4 6-3</v>
      </c>
      <c r="C176" s="100" t="str">
        <f>IF(OR(LEFT(B176,LEN(B$14))=B$14,LEFT(B176,LEN(C$14))=C$14,LEN(B176)&lt;2),"","Wrong pick")</f>
        <v/>
      </c>
      <c r="D176" s="95">
        <f t="shared" ca="1" si="94"/>
        <v>1</v>
      </c>
      <c r="G176" s="95" t="str">
        <f>IF(B176=0,"",IF(LEFT(B176,LEN(B$14))=B$14,B$14,C$14))</f>
        <v>lobkov</v>
      </c>
      <c r="H176" s="95" t="str">
        <f t="shared" si="95"/>
        <v>2-0</v>
      </c>
      <c r="I176" s="95" t="str">
        <f ca="1">IF(AND(J176=Singles!$H$21,INDIRECT(ADDRESS(A176+1,6,1))=0,NOT(INDIRECT(ADDRESS(A176+1,5,1))="")),IF(D176=0,IF(H176=H194,"",G176&amp;" "&amp;H176&amp;" v "&amp;H194&amp;", "),G176&amp;" "&amp;H176&amp;" vs. "&amp;G194&amp;" "&amp;H194&amp;", "),"")</f>
        <v xml:space="preserve">lobkov 2-0 vs.  0-0, </v>
      </c>
      <c r="J176" s="97">
        <f>Singles!H$15</f>
        <v>1</v>
      </c>
      <c r="K176" s="95" t="str">
        <f t="shared" si="96"/>
        <v>PTS</v>
      </c>
      <c r="L176" s="95" t="str">
        <f t="shared" si="97"/>
        <v>6-4 6-3</v>
      </c>
      <c r="M176" s="95" t="str">
        <f t="shared" si="98"/>
        <v>64 63</v>
      </c>
      <c r="N176" s="95" t="str">
        <f t="shared" si="99"/>
        <v>64 63</v>
      </c>
      <c r="O176" s="95" t="str">
        <f t="shared" si="100"/>
        <v>64 63</v>
      </c>
      <c r="P176" s="95" t="str">
        <f t="shared" si="101"/>
        <v>64 63</v>
      </c>
      <c r="Q176" s="95">
        <f>IF(AND(G176=T$14,LEN(G176)&gt;1),1,0)</f>
        <v>0</v>
      </c>
      <c r="R176" s="97">
        <f>Singles!D$15</f>
        <v>13</v>
      </c>
      <c r="S176" s="95">
        <f>IF(AND(H176=H$14,LEN(H176)&gt;1,Q176=1),1,0)</f>
        <v>0</v>
      </c>
      <c r="V176" s="97">
        <f>VLOOKUP(13,X164:Y179,2,0)</f>
        <v>1</v>
      </c>
      <c r="X176" s="95">
        <f t="shared" si="102"/>
        <v>13</v>
      </c>
      <c r="Y176" s="95">
        <f t="shared" si="103"/>
        <v>1</v>
      </c>
      <c r="Z176" s="95">
        <f t="shared" si="104"/>
        <v>0</v>
      </c>
    </row>
    <row r="177" spans="1:26">
      <c r="A177" s="95">
        <v>14</v>
      </c>
      <c r="B177" s="95" t="str">
        <f>Singles!J108</f>
        <v>SANTOS 6-4 6-3</v>
      </c>
      <c r="C177" s="100" t="str">
        <f>IF(OR(LEFT(B177,LEN(B$15))=B$15,LEFT(B177,LEN(C$15))=C$15,LEN(B177)&lt;2),"","Wrong pick")</f>
        <v/>
      </c>
      <c r="D177" s="95">
        <f t="shared" ca="1" si="94"/>
        <v>1</v>
      </c>
      <c r="G177" s="95" t="str">
        <f>IF(B177=0,"",IF(LEFT(B177,LEN(B$15))=B$15,B$15,C$15))</f>
        <v>santos</v>
      </c>
      <c r="H177" s="95" t="str">
        <f t="shared" si="95"/>
        <v>2-0</v>
      </c>
      <c r="I177" s="95" t="str">
        <f ca="1">IF(AND(J177=Singles!$H$21,INDIRECT(ADDRESS(A177+1,6,1))=0,NOT(INDIRECT(ADDRESS(A177+1,5,1))="")),IF(D177=0,IF(H177=H195,"",G177&amp;" "&amp;H177&amp;" v "&amp;H195&amp;", "),G177&amp;" "&amp;H177&amp;" vs. "&amp;G195&amp;" "&amp;H195&amp;", "),"")</f>
        <v xml:space="preserve">santos 2-0 vs.  0-0, </v>
      </c>
      <c r="J177" s="97">
        <f>Singles!H$16</f>
        <v>1</v>
      </c>
      <c r="K177" s="95" t="str">
        <f t="shared" si="96"/>
        <v>PTS</v>
      </c>
      <c r="L177" s="95" t="str">
        <f t="shared" si="97"/>
        <v>6-4 6-3</v>
      </c>
      <c r="M177" s="95" t="str">
        <f t="shared" si="98"/>
        <v>64 63</v>
      </c>
      <c r="N177" s="95" t="str">
        <f t="shared" si="99"/>
        <v>64 63</v>
      </c>
      <c r="O177" s="95" t="str">
        <f t="shared" si="100"/>
        <v>64 63</v>
      </c>
      <c r="P177" s="95" t="str">
        <f t="shared" si="101"/>
        <v>64 63</v>
      </c>
      <c r="Q177" s="95">
        <f>IF(AND(G177=T$15,LEN(G177)&gt;1),1,0)</f>
        <v>0</v>
      </c>
      <c r="R177" s="97">
        <f>Singles!D$16</f>
        <v>14</v>
      </c>
      <c r="S177" s="95">
        <f>IF(AND(H177=H$15,LEN(H177)&gt;1,Q177=1),1,0)</f>
        <v>0</v>
      </c>
      <c r="V177" s="97">
        <f>VLOOKUP(14,X164:Y179,2,0)</f>
        <v>1</v>
      </c>
      <c r="X177" s="95">
        <f t="shared" si="102"/>
        <v>14</v>
      </c>
      <c r="Y177" s="95">
        <f t="shared" si="103"/>
        <v>1</v>
      </c>
      <c r="Z177" s="95">
        <f t="shared" si="104"/>
        <v>0</v>
      </c>
    </row>
    <row r="178" spans="1:26">
      <c r="A178" s="95">
        <v>15</v>
      </c>
      <c r="B178" s="95" t="str">
        <f>Singles!J109</f>
        <v>SANTOS 6-4 6-3</v>
      </c>
      <c r="C178" s="100" t="str">
        <f>IF(OR(LEFT(B178,LEN(B$16))=B$16,LEFT(B178,LEN(C$16))=C$16,LEN(B178)&lt;2),"","Wrong pick")</f>
        <v/>
      </c>
      <c r="D178" s="95">
        <f t="shared" ca="1" si="94"/>
        <v>1</v>
      </c>
      <c r="G178" s="95" t="str">
        <f>IF(B178=0,"",IF(LEFT(B178,LEN(B$16))=B$16,B$16,C$16))</f>
        <v>santos</v>
      </c>
      <c r="H178" s="95" t="str">
        <f t="shared" si="95"/>
        <v>2-0</v>
      </c>
      <c r="I178" s="95" t="str">
        <f ca="1">IF(AND(J178=Singles!$H$21,INDIRECT(ADDRESS(A178+1,6,1))=0,NOT(INDIRECT(ADDRESS(A178+1,5,1))="")),IF(D178=0,IF(H178=H196,"",G178&amp;" "&amp;H178&amp;" v "&amp;H196&amp;", "),G178&amp;" "&amp;H178&amp;" vs. "&amp;G196&amp;" "&amp;H196&amp;", "),"")</f>
        <v xml:space="preserve">santos 2-0 vs.  0-0, </v>
      </c>
      <c r="J178" s="97">
        <f>Singles!H$17</f>
        <v>1</v>
      </c>
      <c r="K178" s="95" t="str">
        <f t="shared" si="96"/>
        <v>PTS</v>
      </c>
      <c r="L178" s="95" t="str">
        <f t="shared" si="97"/>
        <v>6-4 6-3</v>
      </c>
      <c r="M178" s="95" t="str">
        <f t="shared" si="98"/>
        <v>64 63</v>
      </c>
      <c r="N178" s="95" t="str">
        <f t="shared" si="99"/>
        <v>64 63</v>
      </c>
      <c r="O178" s="95" t="str">
        <f t="shared" si="100"/>
        <v>64 63</v>
      </c>
      <c r="P178" s="95" t="str">
        <f t="shared" si="101"/>
        <v>64 63</v>
      </c>
      <c r="Q178" s="95">
        <f>IF(AND(G178=T$16,LEN(G178)&gt;1),1,0)</f>
        <v>0</v>
      </c>
      <c r="R178" s="97">
        <f>Singles!D$17</f>
        <v>15</v>
      </c>
      <c r="S178" s="95">
        <f>IF(AND(H178=H$16,LEN(H178)&gt;1,Q178=1),1,0)</f>
        <v>0</v>
      </c>
      <c r="V178" s="97">
        <f>VLOOKUP(15,X164:Y179,2,0)</f>
        <v>1</v>
      </c>
      <c r="X178" s="95">
        <f t="shared" si="102"/>
        <v>15</v>
      </c>
      <c r="Y178" s="95">
        <f t="shared" si="103"/>
        <v>1</v>
      </c>
      <c r="Z178" s="95">
        <f t="shared" si="104"/>
        <v>0</v>
      </c>
    </row>
    <row r="179" spans="1:26">
      <c r="A179" s="95">
        <v>16</v>
      </c>
      <c r="B179" s="95" t="str">
        <f>Singles!J110</f>
        <v>LOJDA 6-4 6-3</v>
      </c>
      <c r="C179" s="100" t="str">
        <f>IF(OR(LEFT(B179,LEN(B$17))=B$17,LEFT(B179,LEN(C$17))=C$17,LEN(B179)&lt;2),"","Wrong pick")</f>
        <v/>
      </c>
      <c r="D179" s="95">
        <f t="shared" ca="1" si="94"/>
        <v>1</v>
      </c>
      <c r="G179" s="95" t="str">
        <f>IF(B179=0,"",IF(LEFT(B179,LEN(B$17))=B$17,B$17,C$17))</f>
        <v>lojda</v>
      </c>
      <c r="H179" s="95" t="str">
        <f t="shared" si="95"/>
        <v>2-0</v>
      </c>
      <c r="I179" s="95" t="str">
        <f ca="1">IF(AND(J179=Singles!$H$21,INDIRECT(ADDRESS(A179+1,6,1))=0,NOT(INDIRECT(ADDRESS(A179+1,5,1))="")),IF(D179=0,IF(H179=H197,"",G179&amp;" "&amp;H179&amp;" v "&amp;H197&amp;", "),G179&amp;" "&amp;H179&amp;" vs. "&amp;G197&amp;" "&amp;H197&amp;", "),"")</f>
        <v xml:space="preserve">lojda 2-0 vs.  0-0, </v>
      </c>
      <c r="J179" s="97">
        <f>Singles!H$18</f>
        <v>1</v>
      </c>
      <c r="K179" s="95" t="str">
        <f t="shared" si="96"/>
        <v>PTS</v>
      </c>
      <c r="L179" s="95" t="str">
        <f t="shared" si="97"/>
        <v>6-4 6-3</v>
      </c>
      <c r="M179" s="95" t="str">
        <f t="shared" si="98"/>
        <v>64 63</v>
      </c>
      <c r="N179" s="95" t="str">
        <f t="shared" si="99"/>
        <v>64 63</v>
      </c>
      <c r="O179" s="95" t="str">
        <f t="shared" si="100"/>
        <v>64 63</v>
      </c>
      <c r="P179" s="95" t="str">
        <f t="shared" si="101"/>
        <v>64 63</v>
      </c>
      <c r="Q179" s="95">
        <f>IF(AND(G179=T$17,LEN(G179)&gt;1),1,0)</f>
        <v>0</v>
      </c>
      <c r="R179" s="97">
        <f>Singles!D$18</f>
        <v>16</v>
      </c>
      <c r="S179" s="95">
        <f>IF(AND(H179=H$17,LEN(H179)&gt;1,Q179=1),1,0)</f>
        <v>0</v>
      </c>
      <c r="V179" s="97">
        <f>VLOOKUP(16,X164:Y179,2,0)</f>
        <v>1</v>
      </c>
      <c r="X179" s="95">
        <f t="shared" si="102"/>
        <v>16</v>
      </c>
      <c r="Y179" s="95">
        <f t="shared" si="103"/>
        <v>1</v>
      </c>
      <c r="Z179" s="95">
        <f t="shared" si="104"/>
        <v>0</v>
      </c>
    </row>
    <row r="181" spans="1:26">
      <c r="A181" s="95" t="str">
        <f>IF(LEN(VLOOKUP(B181,Singles!$A$2:$B$33,2,0))&gt;0,VLOOKUP(B181,Singles!$A$2:$B$33,2,0),"")</f>
        <v/>
      </c>
      <c r="B181" s="96" t="str">
        <f>Singles!K94</f>
        <v>pinarodrigues</v>
      </c>
      <c r="C181" s="96">
        <v>10</v>
      </c>
      <c r="D181" s="95" t="str">
        <f>VLOOKUP(B181,Singles!$A$2:$C$33,3,0)</f>
        <v>POR</v>
      </c>
      <c r="J181" s="95" t="s">
        <v>88</v>
      </c>
      <c r="Q181" s="95" t="s">
        <v>121</v>
      </c>
      <c r="S181" s="95" t="s">
        <v>122</v>
      </c>
      <c r="T181" s="95" t="str">
        <f>IF(LEN(A181)&gt;0,"("&amp;A181&amp;") "&amp;B181,B181)&amp;IF(LEN(D181)&gt;1," ("&amp;D181&amp;")","")</f>
        <v>pinarodrigues (POR)</v>
      </c>
      <c r="V181" s="95" t="s">
        <v>123</v>
      </c>
      <c r="Y181" s="95" t="s">
        <v>123</v>
      </c>
    </row>
    <row r="182" spans="1:26">
      <c r="A182" s="95">
        <v>1</v>
      </c>
      <c r="B182" s="95">
        <f>Singles!K95</f>
        <v>0</v>
      </c>
      <c r="C182" s="99" t="str">
        <f>IF(OR(LEFT(B182,LEN(B$2))=B$2,LEFT(B182,LEN(C$2))=C$2,LEN(B182)&lt;2),"","Wrong pick")</f>
        <v/>
      </c>
      <c r="E182" s="95" t="str">
        <f ca="1">IF(AND(D164=1,J182=$I$2),G182&amp;", ","")&amp;IF(AND(D165=1,J183=$I$2),G183&amp;", ","")&amp;IF(AND(D166=1,J184=$I$2),G184&amp;", ","")&amp;IF(AND(D167=1,J185=$I$2),G185&amp;", ","")&amp;IF(AND(D168=1,J186=$I$2),G186&amp;", ","")&amp;IF(AND(D169=1,J187=$I$2),G187&amp;", ","")&amp;IF(AND(D170=1,J188=$I$2),G188&amp;", ","")&amp;IF(AND(D171=1,J189=$I$2),G189&amp;", ","")&amp;IF(AND(D172=1,J190=$I$2),G190&amp;", ","")&amp;IF(AND(D173=1,J191=$I$2),G191&amp;", ","")&amp;IF(AND(D174=1,J192=$I$2),G192&amp;", ","")&amp;IF(AND(D175=1,J193=$I$2),G193&amp;", ","")&amp;IF(AND(D176=1,J194=$I$2),G194&amp;", ","")&amp;IF(AND(D177=1,J195=$I$2),G195&amp;", ","")&amp;IF(AND(D178=1,J196=$I$2),G196&amp;", ","")&amp;IF(AND(D179=1,J197=$I$2),G197&amp;", ","")</f>
        <v xml:space="preserve">, , , , , , , , , , , , , , , , </v>
      </c>
      <c r="F182" s="95" t="str">
        <f>IF(AND(SUM(Z182:Z197)=$I$4,NOT(B181="Bye")),"Missing picks from "&amp;B181&amp;" ","")</f>
        <v xml:space="preserve">Missing picks from pinarodrigues </v>
      </c>
      <c r="G182" s="95" t="str">
        <f>IF(B182=0,"",IF(LEFT(B182,LEN(B$2))=B$2,B$2,C$2))</f>
        <v/>
      </c>
      <c r="H182" s="95" t="str">
        <f t="shared" ref="H182:H197" si="105">IF(L182="","",IF(K182="PTS",IF(LEN(O182)&lt;8,"2-0","2-1"),LEFT(O182,1)&amp;"-"&amp;RIGHT(O182,1)))</f>
        <v>0-0</v>
      </c>
      <c r="J182" s="97">
        <f>Singles!H$3</f>
        <v>1</v>
      </c>
      <c r="K182" s="95" t="str">
        <f t="shared" ref="K182:K197" si="106">IF(LEN(L182)&gt;0,IF(LEN(O182)&lt;4,"SR","PTS"),"")</f>
        <v>SR</v>
      </c>
      <c r="L182" s="95" t="str">
        <f t="shared" ref="L182:L197" si="107">TRIM(RIGHT(B182,LEN(B182)-LEN(G182)))</f>
        <v>0</v>
      </c>
      <c r="M182" s="95" t="str">
        <f t="shared" ref="M182:M197" si="108">SUBSTITUTE(L182,"-","")</f>
        <v>0</v>
      </c>
      <c r="N182" s="95" t="str">
        <f t="shared" ref="N182:N197" si="109">SUBSTITUTE(M182,","," ")</f>
        <v>0</v>
      </c>
      <c r="O182" s="95" t="str">
        <f t="shared" ref="O182:O197" si="110">IF(AND(LEN(TRIM(SUBSTITUTE(P182,"/","")))&gt;6,OR(LEFT(TRIM(SUBSTITUTE(P182,"/","")),2)="20",LEFT(TRIM(SUBSTITUTE(P182,"/","")),2)="21")),RIGHT(TRIM(SUBSTITUTE(P182,"/","")),LEN(TRIM(SUBSTITUTE(P182,"/","")))-3),TRIM(SUBSTITUTE(P182,"/","")))</f>
        <v>0</v>
      </c>
      <c r="P182" s="95" t="str">
        <f t="shared" ref="P182:P197" si="111">SUBSTITUTE(N182,":","")</f>
        <v>0</v>
      </c>
      <c r="Q182" s="95">
        <f>IF(AND(G182=T$2,LEN(G182)&gt;1),1,0)</f>
        <v>0</v>
      </c>
      <c r="R182" s="97">
        <f>Singles!D$3</f>
        <v>1</v>
      </c>
      <c r="S182" s="95">
        <f>IF(AND(H182=H$2,LEN(H182)&gt;1,Q182=1),1,0)</f>
        <v>0</v>
      </c>
      <c r="T182" s="95" t="str">
        <f t="shared" ref="T182:T197" si="112">IF(V164=V182,"No","Winner")</f>
        <v>No</v>
      </c>
      <c r="U182" s="95" t="str">
        <f>IF(T182="Winner",IF(V182&gt;V164,B181,B163),"")</f>
        <v/>
      </c>
      <c r="V182" s="97">
        <f>VLOOKUP(1,X182:Y197,2,0)</f>
        <v>1</v>
      </c>
      <c r="W182" s="95">
        <v>1</v>
      </c>
      <c r="X182" s="95">
        <f t="shared" ref="X182:X197" si="113">R182</f>
        <v>1</v>
      </c>
      <c r="Y182" s="95">
        <f t="shared" ref="Y182:Y197" si="114">IF(Q182=1,IF(S182=1,4,3),IF(H182="2-1",2,1))</f>
        <v>1</v>
      </c>
      <c r="Z182" s="95">
        <f t="shared" ref="Z182:Z197" si="115">IF(AND($I$2=J182,B182=0),1,0)</f>
        <v>1</v>
      </c>
    </row>
    <row r="183" spans="1:26">
      <c r="A183" s="95">
        <v>2</v>
      </c>
      <c r="B183" s="95">
        <f>Singles!K96</f>
        <v>0</v>
      </c>
      <c r="C183" s="100" t="str">
        <f>IF(OR(LEFT(B183,LEN(B$3))=B$3,LEFT(B183,LEN(C$3))=C$3,LEN(B183)&lt;2),"","Wrong pick")</f>
        <v/>
      </c>
      <c r="G183" s="95" t="str">
        <f>IF(B183=0,"",IF(LEFT(B183,LEN(B$3))=B$3,B$3,C$3))</f>
        <v/>
      </c>
      <c r="H183" s="95" t="str">
        <f t="shared" si="105"/>
        <v>0-0</v>
      </c>
      <c r="J183" s="97">
        <f>Singles!H$4</f>
        <v>1</v>
      </c>
      <c r="K183" s="95" t="str">
        <f t="shared" si="106"/>
        <v>SR</v>
      </c>
      <c r="L183" s="95" t="str">
        <f t="shared" si="107"/>
        <v>0</v>
      </c>
      <c r="M183" s="95" t="str">
        <f t="shared" si="108"/>
        <v>0</v>
      </c>
      <c r="N183" s="95" t="str">
        <f t="shared" si="109"/>
        <v>0</v>
      </c>
      <c r="O183" s="95" t="str">
        <f t="shared" si="110"/>
        <v>0</v>
      </c>
      <c r="P183" s="95" t="str">
        <f t="shared" si="111"/>
        <v>0</v>
      </c>
      <c r="Q183" s="95">
        <f>IF(AND(G183=T$3,LEN(G183)&gt;1),1,0)</f>
        <v>0</v>
      </c>
      <c r="R183" s="97">
        <f>Singles!D$4</f>
        <v>2</v>
      </c>
      <c r="S183" s="95">
        <f>IF(AND(H183=H$3,LEN(H183)&gt;1,Q183=1),1,0)</f>
        <v>0</v>
      </c>
      <c r="T183" s="95" t="str">
        <f t="shared" si="112"/>
        <v>No</v>
      </c>
      <c r="U183" s="95" t="str">
        <f>IF(T183="Winner",IF(V183&gt;V165,B181,B163),"")</f>
        <v/>
      </c>
      <c r="V183" s="97">
        <f>VLOOKUP(2,X182:Y197,2,0)</f>
        <v>1</v>
      </c>
      <c r="W183" s="95">
        <v>2</v>
      </c>
      <c r="X183" s="95">
        <f t="shared" si="113"/>
        <v>2</v>
      </c>
      <c r="Y183" s="95">
        <f t="shared" si="114"/>
        <v>1</v>
      </c>
      <c r="Z183" s="95">
        <f t="shared" si="115"/>
        <v>1</v>
      </c>
    </row>
    <row r="184" spans="1:26">
      <c r="A184" s="95">
        <v>3</v>
      </c>
      <c r="B184" s="95">
        <f>Singles!K97</f>
        <v>0</v>
      </c>
      <c r="C184" s="100" t="str">
        <f>IF(OR(LEFT(B184,LEN(B$4))=B$4,LEFT(B184,LEN(C$4))=C$4,LEN(B184)&lt;2),"","Wrong pick")</f>
        <v/>
      </c>
      <c r="G184" s="95" t="str">
        <f>IF(B184=0,"",IF(LEFT(B184,LEN(B$4))=B$4,B$4,C$4))</f>
        <v/>
      </c>
      <c r="H184" s="95" t="str">
        <f t="shared" si="105"/>
        <v>0-0</v>
      </c>
      <c r="J184" s="97">
        <f>Singles!H$5</f>
        <v>1</v>
      </c>
      <c r="K184" s="95" t="str">
        <f t="shared" si="106"/>
        <v>SR</v>
      </c>
      <c r="L184" s="95" t="str">
        <f t="shared" si="107"/>
        <v>0</v>
      </c>
      <c r="M184" s="95" t="str">
        <f t="shared" si="108"/>
        <v>0</v>
      </c>
      <c r="N184" s="95" t="str">
        <f t="shared" si="109"/>
        <v>0</v>
      </c>
      <c r="O184" s="95" t="str">
        <f t="shared" si="110"/>
        <v>0</v>
      </c>
      <c r="P184" s="95" t="str">
        <f t="shared" si="111"/>
        <v>0</v>
      </c>
      <c r="Q184" s="95">
        <f>IF(AND(G184=T$4,LEN(G184)&gt;1),1,0)</f>
        <v>0</v>
      </c>
      <c r="R184" s="97">
        <f>Singles!D$5</f>
        <v>3</v>
      </c>
      <c r="S184" s="95">
        <f>IF(AND(H184=H$4,LEN(H184)&gt;1,Q184=1),1,0)</f>
        <v>0</v>
      </c>
      <c r="T184" s="95" t="str">
        <f t="shared" si="112"/>
        <v>No</v>
      </c>
      <c r="U184" s="95" t="str">
        <f>IF(T184="Winner",IF(V184&gt;V166,B181,B163),"")</f>
        <v/>
      </c>
      <c r="V184" s="97">
        <f>VLOOKUP(3,X182:Y197,2,0)</f>
        <v>1</v>
      </c>
      <c r="W184" s="95">
        <v>3</v>
      </c>
      <c r="X184" s="95">
        <f t="shared" si="113"/>
        <v>3</v>
      </c>
      <c r="Y184" s="95">
        <f t="shared" si="114"/>
        <v>1</v>
      </c>
      <c r="Z184" s="95">
        <f t="shared" si="115"/>
        <v>1</v>
      </c>
    </row>
    <row r="185" spans="1:26">
      <c r="A185" s="95">
        <v>4</v>
      </c>
      <c r="B185" s="95">
        <f>Singles!K98</f>
        <v>0</v>
      </c>
      <c r="C185" s="100" t="str">
        <f>IF(OR(LEFT(B185,LEN(B$5))=B$5,LEFT(B185,LEN(C$5))=C$5,LEN(B185)&lt;2),"","Wrong pick")</f>
        <v/>
      </c>
      <c r="G185" s="95" t="str">
        <f>IF(B185=0,"",IF(LEFT(B185,LEN(B$5))=B$5,B$5,C$5))</f>
        <v/>
      </c>
      <c r="H185" s="95" t="str">
        <f t="shared" si="105"/>
        <v>0-0</v>
      </c>
      <c r="J185" s="97">
        <f>Singles!H$6</f>
        <v>1</v>
      </c>
      <c r="K185" s="95" t="str">
        <f t="shared" si="106"/>
        <v>SR</v>
      </c>
      <c r="L185" s="95" t="str">
        <f t="shared" si="107"/>
        <v>0</v>
      </c>
      <c r="M185" s="95" t="str">
        <f t="shared" si="108"/>
        <v>0</v>
      </c>
      <c r="N185" s="95" t="str">
        <f t="shared" si="109"/>
        <v>0</v>
      </c>
      <c r="O185" s="95" t="str">
        <f t="shared" si="110"/>
        <v>0</v>
      </c>
      <c r="P185" s="95" t="str">
        <f t="shared" si="111"/>
        <v>0</v>
      </c>
      <c r="Q185" s="95">
        <f>IF(AND(G185=T$5,LEN(G185)&gt;1),1,0)</f>
        <v>0</v>
      </c>
      <c r="R185" s="97">
        <f>Singles!D$6</f>
        <v>4</v>
      </c>
      <c r="S185" s="95">
        <f>IF(AND(H185=H$5,LEN(H185)&gt;1,Q185=1),1,0)</f>
        <v>0</v>
      </c>
      <c r="T185" s="95" t="str">
        <f t="shared" si="112"/>
        <v>Winner</v>
      </c>
      <c r="U185" s="95" t="str">
        <f>IF(T185="Winner",IF(V185&gt;V167,B181,B163),"")</f>
        <v>Matthew2408</v>
      </c>
      <c r="V185" s="97">
        <f>VLOOKUP(4,X182:Y197,2,0)</f>
        <v>1</v>
      </c>
      <c r="W185" s="95">
        <v>4</v>
      </c>
      <c r="X185" s="95">
        <f t="shared" si="113"/>
        <v>4</v>
      </c>
      <c r="Y185" s="95">
        <f t="shared" si="114"/>
        <v>1</v>
      </c>
      <c r="Z185" s="95">
        <f t="shared" si="115"/>
        <v>1</v>
      </c>
    </row>
    <row r="186" spans="1:26">
      <c r="A186" s="95">
        <v>5</v>
      </c>
      <c r="B186" s="95">
        <f>Singles!K99</f>
        <v>0</v>
      </c>
      <c r="C186" s="100" t="str">
        <f>IF(OR(LEFT(B186,LEN(B$6))=B$6,LEFT(B186,LEN(C$6))=C$6,LEN(B186)&lt;2),"","Wrong pick")</f>
        <v/>
      </c>
      <c r="G186" s="95" t="str">
        <f>IF(B186=0,"",IF(LEFT(B186,LEN(B$6))=B$6,B$6,C$6))</f>
        <v/>
      </c>
      <c r="H186" s="95" t="str">
        <f t="shared" si="105"/>
        <v>0-0</v>
      </c>
      <c r="J186" s="97">
        <f>Singles!H$7</f>
        <v>1</v>
      </c>
      <c r="K186" s="95" t="str">
        <f t="shared" si="106"/>
        <v>SR</v>
      </c>
      <c r="L186" s="95" t="str">
        <f t="shared" si="107"/>
        <v>0</v>
      </c>
      <c r="M186" s="95" t="str">
        <f t="shared" si="108"/>
        <v>0</v>
      </c>
      <c r="N186" s="95" t="str">
        <f t="shared" si="109"/>
        <v>0</v>
      </c>
      <c r="O186" s="95" t="str">
        <f t="shared" si="110"/>
        <v>0</v>
      </c>
      <c r="P186" s="95" t="str">
        <f t="shared" si="111"/>
        <v>0</v>
      </c>
      <c r="Q186" s="95">
        <f>IF(AND(G186=T$6,LEN(G186)&gt;1),1,0)</f>
        <v>0</v>
      </c>
      <c r="R186" s="97">
        <f>Singles!D$7</f>
        <v>5</v>
      </c>
      <c r="S186" s="95">
        <f>IF(AND(H186=H$6,LEN(H186)&gt;1,Q186=1),1,0)</f>
        <v>0</v>
      </c>
      <c r="T186" s="95" t="str">
        <f t="shared" si="112"/>
        <v>No</v>
      </c>
      <c r="U186" s="95" t="str">
        <f>IF(T186="Winner",IF(V186&gt;V168,B181,B163),"")</f>
        <v/>
      </c>
      <c r="V186" s="97">
        <f>VLOOKUP(5,X182:Y197,2,0)</f>
        <v>1</v>
      </c>
      <c r="W186" s="95">
        <v>5</v>
      </c>
      <c r="X186" s="95">
        <f t="shared" si="113"/>
        <v>5</v>
      </c>
      <c r="Y186" s="95">
        <f t="shared" si="114"/>
        <v>1</v>
      </c>
      <c r="Z186" s="95">
        <f t="shared" si="115"/>
        <v>1</v>
      </c>
    </row>
    <row r="187" spans="1:26">
      <c r="A187" s="95">
        <v>6</v>
      </c>
      <c r="B187" s="95">
        <f>Singles!K100</f>
        <v>0</v>
      </c>
      <c r="C187" s="100" t="str">
        <f>IF(OR(LEFT(B187,LEN(B$7))=B$7,LEFT(B187,LEN(C$7))=C$7,LEN(B187)&lt;2),"","Wrong pick")</f>
        <v/>
      </c>
      <c r="G187" s="95" t="str">
        <f>IF(B187=0,"",IF(LEFT(B187,LEN(B$7))=B$7,B$7,C$7))</f>
        <v/>
      </c>
      <c r="H187" s="95" t="str">
        <f t="shared" si="105"/>
        <v>0-0</v>
      </c>
      <c r="J187" s="97">
        <f>Singles!H$8</f>
        <v>1</v>
      </c>
      <c r="K187" s="95" t="str">
        <f t="shared" si="106"/>
        <v>SR</v>
      </c>
      <c r="L187" s="95" t="str">
        <f t="shared" si="107"/>
        <v>0</v>
      </c>
      <c r="M187" s="95" t="str">
        <f t="shared" si="108"/>
        <v>0</v>
      </c>
      <c r="N187" s="95" t="str">
        <f t="shared" si="109"/>
        <v>0</v>
      </c>
      <c r="O187" s="95" t="str">
        <f t="shared" si="110"/>
        <v>0</v>
      </c>
      <c r="P187" s="95" t="str">
        <f t="shared" si="111"/>
        <v>0</v>
      </c>
      <c r="Q187" s="95">
        <f>IF(AND(G187=T$7,LEN(G187)&gt;1),1,0)</f>
        <v>0</v>
      </c>
      <c r="R187" s="97">
        <f>Singles!D$8</f>
        <v>6</v>
      </c>
      <c r="S187" s="95">
        <f>IF(AND(H187=H$7,LEN(H187)&gt;1,Q187=1),1,0)</f>
        <v>0</v>
      </c>
      <c r="T187" s="95" t="str">
        <f t="shared" si="112"/>
        <v>No</v>
      </c>
      <c r="U187" s="95" t="str">
        <f>IF(T187="Winner",IF(V187&gt;V169,B181,B163),"")</f>
        <v/>
      </c>
      <c r="V187" s="97">
        <f>VLOOKUP(6,X182:Y197,2,0)</f>
        <v>1</v>
      </c>
      <c r="W187" s="95">
        <v>6</v>
      </c>
      <c r="X187" s="95">
        <f t="shared" si="113"/>
        <v>6</v>
      </c>
      <c r="Y187" s="95">
        <f t="shared" si="114"/>
        <v>1</v>
      </c>
      <c r="Z187" s="95">
        <f t="shared" si="115"/>
        <v>1</v>
      </c>
    </row>
    <row r="188" spans="1:26">
      <c r="A188" s="95">
        <v>7</v>
      </c>
      <c r="B188" s="95">
        <f>Singles!K101</f>
        <v>0</v>
      </c>
      <c r="C188" s="100" t="str">
        <f>IF(OR(LEFT(B188,LEN(B$8))=B$8,LEFT(B188,LEN(C$8))=C$8,LEN(B188)&lt;2),"","Wrong pick")</f>
        <v/>
      </c>
      <c r="G188" s="95" t="str">
        <f>IF(B188=0,"",IF(LEFT(B188,LEN(B$8))=B$8,B$8,C$8))</f>
        <v/>
      </c>
      <c r="H188" s="95" t="str">
        <f t="shared" si="105"/>
        <v>0-0</v>
      </c>
      <c r="J188" s="97">
        <f>Singles!H$9</f>
        <v>1</v>
      </c>
      <c r="K188" s="95" t="str">
        <f t="shared" si="106"/>
        <v>SR</v>
      </c>
      <c r="L188" s="95" t="str">
        <f t="shared" si="107"/>
        <v>0</v>
      </c>
      <c r="M188" s="95" t="str">
        <f t="shared" si="108"/>
        <v>0</v>
      </c>
      <c r="N188" s="95" t="str">
        <f t="shared" si="109"/>
        <v>0</v>
      </c>
      <c r="O188" s="95" t="str">
        <f t="shared" si="110"/>
        <v>0</v>
      </c>
      <c r="P188" s="95" t="str">
        <f t="shared" si="111"/>
        <v>0</v>
      </c>
      <c r="Q188" s="95">
        <f>IF(AND(G188=T$8,LEN(G188)&gt;1),1,0)</f>
        <v>0</v>
      </c>
      <c r="R188" s="97">
        <f>Singles!D$9</f>
        <v>7</v>
      </c>
      <c r="S188" s="95">
        <f>IF(AND(H188=H$8,LEN(H188)&gt;1,Q188=1),1,0)</f>
        <v>0</v>
      </c>
      <c r="T188" s="95" t="str">
        <f t="shared" si="112"/>
        <v>Winner</v>
      </c>
      <c r="U188" s="95" t="str">
        <f>IF(T188="Winner",IF(V188&gt;V170,B181,B163),"")</f>
        <v>Matthew2408</v>
      </c>
      <c r="V188" s="97">
        <f>VLOOKUP(7,X182:Y197,2,0)</f>
        <v>1</v>
      </c>
      <c r="W188" s="95">
        <v>7</v>
      </c>
      <c r="X188" s="95">
        <f t="shared" si="113"/>
        <v>7</v>
      </c>
      <c r="Y188" s="95">
        <f t="shared" si="114"/>
        <v>1</v>
      </c>
      <c r="Z188" s="95">
        <f t="shared" si="115"/>
        <v>1</v>
      </c>
    </row>
    <row r="189" spans="1:26">
      <c r="A189" s="95">
        <v>8</v>
      </c>
      <c r="B189" s="95">
        <f>Singles!K102</f>
        <v>0</v>
      </c>
      <c r="C189" s="100" t="str">
        <f>IF(OR(LEFT(B189,LEN(B$9))=B$9,LEFT(B189,LEN(C$9))=C$9,LEN(B189)&lt;2),"","Wrong pick")</f>
        <v/>
      </c>
      <c r="G189" s="95" t="str">
        <f>IF(B189=0,"",IF(LEFT(B189,LEN(B$9))=B$9,B$9,C$9))</f>
        <v/>
      </c>
      <c r="H189" s="95" t="str">
        <f t="shared" si="105"/>
        <v>0-0</v>
      </c>
      <c r="J189" s="97">
        <f>Singles!H$10</f>
        <v>1</v>
      </c>
      <c r="K189" s="95" t="str">
        <f t="shared" si="106"/>
        <v>SR</v>
      </c>
      <c r="L189" s="95" t="str">
        <f t="shared" si="107"/>
        <v>0</v>
      </c>
      <c r="M189" s="95" t="str">
        <f t="shared" si="108"/>
        <v>0</v>
      </c>
      <c r="N189" s="95" t="str">
        <f t="shared" si="109"/>
        <v>0</v>
      </c>
      <c r="O189" s="95" t="str">
        <f t="shared" si="110"/>
        <v>0</v>
      </c>
      <c r="P189" s="95" t="str">
        <f t="shared" si="111"/>
        <v>0</v>
      </c>
      <c r="Q189" s="95">
        <f>IF(AND(G189=T$9,LEN(G189)&gt;1),1,0)</f>
        <v>0</v>
      </c>
      <c r="R189" s="97">
        <f>Singles!D$10</f>
        <v>8</v>
      </c>
      <c r="S189" s="95">
        <f>IF(AND(H189=H$9,LEN(H189)&gt;1,Q189=1),1,0)</f>
        <v>0</v>
      </c>
      <c r="T189" s="95" t="str">
        <f t="shared" si="112"/>
        <v>No</v>
      </c>
      <c r="U189" s="95" t="str">
        <f>IF(T189="Winner",IF(V189&gt;V171,B181,B163),"")</f>
        <v/>
      </c>
      <c r="V189" s="97">
        <f>VLOOKUP(8,X182:Y197,2,0)</f>
        <v>1</v>
      </c>
      <c r="W189" s="95">
        <v>8</v>
      </c>
      <c r="X189" s="95">
        <f t="shared" si="113"/>
        <v>8</v>
      </c>
      <c r="Y189" s="95">
        <f t="shared" si="114"/>
        <v>1</v>
      </c>
      <c r="Z189" s="95">
        <f t="shared" si="115"/>
        <v>1</v>
      </c>
    </row>
    <row r="190" spans="1:26">
      <c r="A190" s="95">
        <v>9</v>
      </c>
      <c r="B190" s="95">
        <f>Singles!K103</f>
        <v>0</v>
      </c>
      <c r="C190" s="100" t="str">
        <f>IF(OR(LEFT(B190,LEN(B$10))=B$10,LEFT(B190,LEN(C$10))=C$10,LEN(B190)&lt;2),"","Wrong pick")</f>
        <v/>
      </c>
      <c r="G190" s="95" t="str">
        <f>IF(B190=0,"",IF(LEFT(B190,LEN(B$10))=B$10,B$10,C$10))</f>
        <v/>
      </c>
      <c r="H190" s="95" t="str">
        <f t="shared" si="105"/>
        <v>0-0</v>
      </c>
      <c r="J190" s="97">
        <f>Singles!H$11</f>
        <v>1</v>
      </c>
      <c r="K190" s="95" t="str">
        <f t="shared" si="106"/>
        <v>SR</v>
      </c>
      <c r="L190" s="95" t="str">
        <f t="shared" si="107"/>
        <v>0</v>
      </c>
      <c r="M190" s="95" t="str">
        <f t="shared" si="108"/>
        <v>0</v>
      </c>
      <c r="N190" s="95" t="str">
        <f t="shared" si="109"/>
        <v>0</v>
      </c>
      <c r="O190" s="95" t="str">
        <f t="shared" si="110"/>
        <v>0</v>
      </c>
      <c r="P190" s="95" t="str">
        <f t="shared" si="111"/>
        <v>0</v>
      </c>
      <c r="Q190" s="95">
        <f>IF(AND(G190=T$10,LEN(G190)&gt;1),1,0)</f>
        <v>0</v>
      </c>
      <c r="R190" s="97">
        <f>Singles!D$11</f>
        <v>9</v>
      </c>
      <c r="S190" s="95">
        <f>IF(AND(H190=H$10,LEN(H190)&gt;1,Q190=1),1,0)</f>
        <v>0</v>
      </c>
      <c r="T190" s="95" t="str">
        <f t="shared" si="112"/>
        <v>No</v>
      </c>
      <c r="U190" s="95" t="str">
        <f>IF(T190="Winner",IF(V190&gt;V172,B181,B163),"")</f>
        <v/>
      </c>
      <c r="V190" s="97">
        <f>VLOOKUP(9,X182:Y197,2,0)</f>
        <v>1</v>
      </c>
      <c r="W190" s="95">
        <v>9</v>
      </c>
      <c r="X190" s="95">
        <f t="shared" si="113"/>
        <v>9</v>
      </c>
      <c r="Y190" s="95">
        <f t="shared" si="114"/>
        <v>1</v>
      </c>
      <c r="Z190" s="95">
        <f t="shared" si="115"/>
        <v>1</v>
      </c>
    </row>
    <row r="191" spans="1:26">
      <c r="A191" s="95">
        <v>10</v>
      </c>
      <c r="B191" s="95">
        <f>Singles!K104</f>
        <v>0</v>
      </c>
      <c r="C191" s="100" t="str">
        <f>IF(OR(LEFT(B191,LEN(B$11))=B$11,LEFT(B191,LEN(C$11))=C$11,LEN(B191)&lt;2),"","Wrong pick")</f>
        <v/>
      </c>
      <c r="G191" s="95" t="str">
        <f>IF(B191=0,"",IF(LEFT(B191,LEN(B$11))=B$11,B$11,C$11))</f>
        <v/>
      </c>
      <c r="H191" s="95" t="str">
        <f t="shared" si="105"/>
        <v>0-0</v>
      </c>
      <c r="J191" s="97">
        <f>Singles!H$12</f>
        <v>1</v>
      </c>
      <c r="K191" s="95" t="str">
        <f t="shared" si="106"/>
        <v>SR</v>
      </c>
      <c r="L191" s="95" t="str">
        <f t="shared" si="107"/>
        <v>0</v>
      </c>
      <c r="M191" s="95" t="str">
        <f t="shared" si="108"/>
        <v>0</v>
      </c>
      <c r="N191" s="95" t="str">
        <f t="shared" si="109"/>
        <v>0</v>
      </c>
      <c r="O191" s="95" t="str">
        <f t="shared" si="110"/>
        <v>0</v>
      </c>
      <c r="P191" s="95" t="str">
        <f t="shared" si="111"/>
        <v>0</v>
      </c>
      <c r="Q191" s="95">
        <f>IF(AND(G191=T$11,LEN(G191)&gt;1),1,0)</f>
        <v>0</v>
      </c>
      <c r="R191" s="97">
        <f>Singles!D$12</f>
        <v>10</v>
      </c>
      <c r="S191" s="95">
        <f>IF(AND(H191=H$11,LEN(H191)&gt;1,Q191=1),1,0)</f>
        <v>0</v>
      </c>
      <c r="T191" s="95" t="str">
        <f t="shared" si="112"/>
        <v>No</v>
      </c>
      <c r="U191" s="95" t="str">
        <f>IF(T191="Winner",IF(V191&gt;V173,B181,B163),"")</f>
        <v/>
      </c>
      <c r="V191" s="97">
        <f>VLOOKUP(10,X182:Y197,2,0)</f>
        <v>1</v>
      </c>
      <c r="W191" s="95">
        <v>10</v>
      </c>
      <c r="X191" s="95">
        <f t="shared" si="113"/>
        <v>10</v>
      </c>
      <c r="Y191" s="95">
        <f t="shared" si="114"/>
        <v>1</v>
      </c>
      <c r="Z191" s="95">
        <f t="shared" si="115"/>
        <v>1</v>
      </c>
    </row>
    <row r="192" spans="1:26">
      <c r="A192" s="95">
        <v>11</v>
      </c>
      <c r="B192" s="95">
        <f>Singles!K105</f>
        <v>0</v>
      </c>
      <c r="C192" s="100" t="str">
        <f>IF(OR(LEFT(B192,LEN(B$12))=B$12,LEFT(B192,LEN(C$12))=C$12,LEN(B192)&lt;2),"","Wrong pick")</f>
        <v/>
      </c>
      <c r="G192" s="95" t="str">
        <f>IF(B192=0,"",IF(LEFT(B192,LEN(B$12))=B$12,B$12,C$12))</f>
        <v/>
      </c>
      <c r="H192" s="95" t="str">
        <f t="shared" si="105"/>
        <v>0-0</v>
      </c>
      <c r="J192" s="97">
        <f>Singles!H$13</f>
        <v>1</v>
      </c>
      <c r="K192" s="95" t="str">
        <f t="shared" si="106"/>
        <v>SR</v>
      </c>
      <c r="L192" s="95" t="str">
        <f t="shared" si="107"/>
        <v>0</v>
      </c>
      <c r="M192" s="95" t="str">
        <f t="shared" si="108"/>
        <v>0</v>
      </c>
      <c r="N192" s="95" t="str">
        <f t="shared" si="109"/>
        <v>0</v>
      </c>
      <c r="O192" s="95" t="str">
        <f t="shared" si="110"/>
        <v>0</v>
      </c>
      <c r="P192" s="95" t="str">
        <f t="shared" si="111"/>
        <v>0</v>
      </c>
      <c r="Q192" s="95">
        <f>IF(AND(G192=T$12,LEN(G192)&gt;1),1,0)</f>
        <v>0</v>
      </c>
      <c r="R192" s="97">
        <f>Singles!D$13</f>
        <v>11</v>
      </c>
      <c r="S192" s="95">
        <f>IF(AND(H192=H$12,LEN(H192)&gt;1,Q192=1),1,0)</f>
        <v>0</v>
      </c>
      <c r="T192" s="95" t="str">
        <f t="shared" si="112"/>
        <v>No</v>
      </c>
      <c r="U192" s="95" t="str">
        <f>IF(T192="Winner",IF(V192&gt;V174,B181,B163),"")</f>
        <v/>
      </c>
      <c r="V192" s="97">
        <f>VLOOKUP(11,X182:Y197,2,0)</f>
        <v>1</v>
      </c>
      <c r="W192" s="95">
        <v>11</v>
      </c>
      <c r="X192" s="95">
        <f t="shared" si="113"/>
        <v>11</v>
      </c>
      <c r="Y192" s="95">
        <f t="shared" si="114"/>
        <v>1</v>
      </c>
      <c r="Z192" s="95">
        <f t="shared" si="115"/>
        <v>1</v>
      </c>
    </row>
    <row r="193" spans="1:26">
      <c r="A193" s="95">
        <v>12</v>
      </c>
      <c r="B193" s="95">
        <f>Singles!K106</f>
        <v>0</v>
      </c>
      <c r="C193" s="100" t="str">
        <f>IF(OR(LEFT(B193,LEN(B$13))=B$13,LEFT(B193,LEN(C$13))=C$13,LEN(B193)&lt;2),"","Wrong pick")</f>
        <v/>
      </c>
      <c r="G193" s="95" t="str">
        <f>IF(B193=0,"",IF(LEFT(B193,LEN(B$13))=B$13,B$13,C$13))</f>
        <v/>
      </c>
      <c r="H193" s="95" t="str">
        <f t="shared" si="105"/>
        <v>0-0</v>
      </c>
      <c r="J193" s="97">
        <f>Singles!H$14</f>
        <v>1</v>
      </c>
      <c r="K193" s="95" t="str">
        <f t="shared" si="106"/>
        <v>SR</v>
      </c>
      <c r="L193" s="95" t="str">
        <f t="shared" si="107"/>
        <v>0</v>
      </c>
      <c r="M193" s="95" t="str">
        <f t="shared" si="108"/>
        <v>0</v>
      </c>
      <c r="N193" s="95" t="str">
        <f t="shared" si="109"/>
        <v>0</v>
      </c>
      <c r="O193" s="95" t="str">
        <f t="shared" si="110"/>
        <v>0</v>
      </c>
      <c r="P193" s="95" t="str">
        <f t="shared" si="111"/>
        <v>0</v>
      </c>
      <c r="Q193" s="95">
        <f>IF(AND(G193=T$13,LEN(G193)&gt;1),1,0)</f>
        <v>0</v>
      </c>
      <c r="R193" s="97">
        <f>Singles!D$14</f>
        <v>12</v>
      </c>
      <c r="S193" s="95">
        <f>IF(AND(H193=H$13,LEN(H193)&gt;1,Q193=1),1,0)</f>
        <v>0</v>
      </c>
      <c r="T193" s="95" t="str">
        <f t="shared" si="112"/>
        <v>Winner</v>
      </c>
      <c r="U193" s="95" t="str">
        <f>IF(T193="Winner",IF(V193&gt;V175,B181,B163),"")</f>
        <v>Matthew2408</v>
      </c>
      <c r="V193" s="97">
        <f>VLOOKUP(12,X182:Y197,2,0)</f>
        <v>1</v>
      </c>
      <c r="W193" s="95">
        <v>12</v>
      </c>
      <c r="X193" s="95">
        <f t="shared" si="113"/>
        <v>12</v>
      </c>
      <c r="Y193" s="95">
        <f t="shared" si="114"/>
        <v>1</v>
      </c>
      <c r="Z193" s="95">
        <f t="shared" si="115"/>
        <v>1</v>
      </c>
    </row>
    <row r="194" spans="1:26">
      <c r="A194" s="95">
        <v>13</v>
      </c>
      <c r="B194" s="95">
        <f>Singles!K107</f>
        <v>0</v>
      </c>
      <c r="C194" s="100" t="str">
        <f>IF(OR(LEFT(B194,LEN(B$14))=B$14,LEFT(B194,LEN(C$14))=C$14,LEN(B194)&lt;2),"","Wrong pick")</f>
        <v/>
      </c>
      <c r="G194" s="95" t="str">
        <f>IF(B194=0,"",IF(LEFT(B194,LEN(B$14))=B$14,B$14,C$14))</f>
        <v/>
      </c>
      <c r="H194" s="95" t="str">
        <f t="shared" si="105"/>
        <v>0-0</v>
      </c>
      <c r="J194" s="97">
        <f>Singles!H$15</f>
        <v>1</v>
      </c>
      <c r="K194" s="95" t="str">
        <f t="shared" si="106"/>
        <v>SR</v>
      </c>
      <c r="L194" s="95" t="str">
        <f t="shared" si="107"/>
        <v>0</v>
      </c>
      <c r="M194" s="95" t="str">
        <f t="shared" si="108"/>
        <v>0</v>
      </c>
      <c r="N194" s="95" t="str">
        <f t="shared" si="109"/>
        <v>0</v>
      </c>
      <c r="O194" s="95" t="str">
        <f t="shared" si="110"/>
        <v>0</v>
      </c>
      <c r="P194" s="95" t="str">
        <f t="shared" si="111"/>
        <v>0</v>
      </c>
      <c r="Q194" s="95">
        <f>IF(AND(G194=T$14,LEN(G194)&gt;1),1,0)</f>
        <v>0</v>
      </c>
      <c r="R194" s="97">
        <f>Singles!D$15</f>
        <v>13</v>
      </c>
      <c r="S194" s="95">
        <f>IF(AND(H194=H$14,LEN(H194)&gt;1,Q194=1),1,0)</f>
        <v>0</v>
      </c>
      <c r="T194" s="95" t="str">
        <f t="shared" si="112"/>
        <v>No</v>
      </c>
      <c r="U194" s="95" t="str">
        <f>IF(T194="Winner",IF(V194&gt;V176,B181,B163),"")</f>
        <v/>
      </c>
      <c r="V194" s="97">
        <f>VLOOKUP(13,X182:Y197,2,0)</f>
        <v>1</v>
      </c>
      <c r="W194" s="95">
        <v>13</v>
      </c>
      <c r="X194" s="95">
        <f t="shared" si="113"/>
        <v>13</v>
      </c>
      <c r="Y194" s="95">
        <f t="shared" si="114"/>
        <v>1</v>
      </c>
      <c r="Z194" s="95">
        <f t="shared" si="115"/>
        <v>1</v>
      </c>
    </row>
    <row r="195" spans="1:26">
      <c r="A195" s="95">
        <v>14</v>
      </c>
      <c r="B195" s="95">
        <f>Singles!K108</f>
        <v>0</v>
      </c>
      <c r="C195" s="100" t="str">
        <f>IF(OR(LEFT(B195,LEN(B$15))=B$15,LEFT(B195,LEN(C$15))=C$15,LEN(B195)&lt;2),"","Wrong pick")</f>
        <v/>
      </c>
      <c r="G195" s="95" t="str">
        <f>IF(B195=0,"",IF(LEFT(B195,LEN(B$15))=B$15,B$15,C$15))</f>
        <v/>
      </c>
      <c r="H195" s="95" t="str">
        <f t="shared" si="105"/>
        <v>0-0</v>
      </c>
      <c r="J195" s="97">
        <f>Singles!H$16</f>
        <v>1</v>
      </c>
      <c r="K195" s="95" t="str">
        <f t="shared" si="106"/>
        <v>SR</v>
      </c>
      <c r="L195" s="95" t="str">
        <f t="shared" si="107"/>
        <v>0</v>
      </c>
      <c r="M195" s="95" t="str">
        <f t="shared" si="108"/>
        <v>0</v>
      </c>
      <c r="N195" s="95" t="str">
        <f t="shared" si="109"/>
        <v>0</v>
      </c>
      <c r="O195" s="95" t="str">
        <f t="shared" si="110"/>
        <v>0</v>
      </c>
      <c r="P195" s="95" t="str">
        <f t="shared" si="111"/>
        <v>0</v>
      </c>
      <c r="Q195" s="95">
        <f>IF(AND(G195=T$15,LEN(G195)&gt;1),1,0)</f>
        <v>0</v>
      </c>
      <c r="R195" s="97">
        <f>Singles!D$16</f>
        <v>14</v>
      </c>
      <c r="S195" s="95">
        <f>IF(AND(H195=H$15,LEN(H195)&gt;1,Q195=1),1,0)</f>
        <v>0</v>
      </c>
      <c r="T195" s="95" t="str">
        <f t="shared" si="112"/>
        <v>No</v>
      </c>
      <c r="U195" s="95" t="str">
        <f>IF(T195="Winner",IF(V195&gt;V177,B181,B163),"")</f>
        <v/>
      </c>
      <c r="V195" s="97">
        <f>VLOOKUP(14,X182:Y197,2,0)</f>
        <v>1</v>
      </c>
      <c r="W195" s="95">
        <v>14</v>
      </c>
      <c r="X195" s="95">
        <f t="shared" si="113"/>
        <v>14</v>
      </c>
      <c r="Y195" s="95">
        <f t="shared" si="114"/>
        <v>1</v>
      </c>
      <c r="Z195" s="95">
        <f t="shared" si="115"/>
        <v>1</v>
      </c>
    </row>
    <row r="196" spans="1:26">
      <c r="A196" s="95">
        <v>15</v>
      </c>
      <c r="B196" s="95">
        <f>Singles!K109</f>
        <v>0</v>
      </c>
      <c r="C196" s="100" t="str">
        <f>IF(OR(LEFT(B196,LEN(B$16))=B$16,LEFT(B196,LEN(C$16))=C$16,LEN(B196)&lt;2),"","Wrong pick")</f>
        <v/>
      </c>
      <c r="G196" s="95" t="str">
        <f>IF(B196=0,"",IF(LEFT(B196,LEN(B$16))=B$16,B$16,C$16))</f>
        <v/>
      </c>
      <c r="H196" s="95" t="str">
        <f t="shared" si="105"/>
        <v>0-0</v>
      </c>
      <c r="J196" s="97">
        <f>Singles!H$17</f>
        <v>1</v>
      </c>
      <c r="K196" s="95" t="str">
        <f t="shared" si="106"/>
        <v>SR</v>
      </c>
      <c r="L196" s="95" t="str">
        <f t="shared" si="107"/>
        <v>0</v>
      </c>
      <c r="M196" s="95" t="str">
        <f t="shared" si="108"/>
        <v>0</v>
      </c>
      <c r="N196" s="95" t="str">
        <f t="shared" si="109"/>
        <v>0</v>
      </c>
      <c r="O196" s="95" t="str">
        <f t="shared" si="110"/>
        <v>0</v>
      </c>
      <c r="P196" s="95" t="str">
        <f t="shared" si="111"/>
        <v>0</v>
      </c>
      <c r="Q196" s="95">
        <f>IF(AND(G196=T$16,LEN(G196)&gt;1),1,0)</f>
        <v>0</v>
      </c>
      <c r="R196" s="97">
        <f>Singles!D$17</f>
        <v>15</v>
      </c>
      <c r="S196" s="95">
        <f>IF(AND(H196=H$16,LEN(H196)&gt;1,Q196=1),1,0)</f>
        <v>0</v>
      </c>
      <c r="T196" s="95" t="str">
        <f t="shared" si="112"/>
        <v>No</v>
      </c>
      <c r="U196" s="95" t="str">
        <f>IF(T196="Winner",IF(V196&gt;V178,B181,B163),"")</f>
        <v/>
      </c>
      <c r="V196" s="97">
        <f>VLOOKUP(15,X182:Y197,2,0)</f>
        <v>1</v>
      </c>
      <c r="W196" s="95">
        <v>15</v>
      </c>
      <c r="X196" s="95">
        <f t="shared" si="113"/>
        <v>15</v>
      </c>
      <c r="Y196" s="95">
        <f t="shared" si="114"/>
        <v>1</v>
      </c>
      <c r="Z196" s="95">
        <f t="shared" si="115"/>
        <v>1</v>
      </c>
    </row>
    <row r="197" spans="1:26">
      <c r="A197" s="95">
        <v>16</v>
      </c>
      <c r="B197" s="95">
        <f>Singles!K110</f>
        <v>0</v>
      </c>
      <c r="C197" s="100" t="str">
        <f>IF(OR(LEFT(B197,LEN(B$17))=B$17,LEFT(B197,LEN(C$17))=C$17,LEN(B197)&lt;2),"","Wrong pick")</f>
        <v/>
      </c>
      <c r="G197" s="95" t="str">
        <f>IF(B197=0,"",IF(LEFT(B197,LEN(B$17))=B$17,B$17,C$17))</f>
        <v/>
      </c>
      <c r="H197" s="95" t="str">
        <f t="shared" si="105"/>
        <v>0-0</v>
      </c>
      <c r="J197" s="97">
        <f>Singles!H$18</f>
        <v>1</v>
      </c>
      <c r="K197" s="95" t="str">
        <f t="shared" si="106"/>
        <v>SR</v>
      </c>
      <c r="L197" s="95" t="str">
        <f t="shared" si="107"/>
        <v>0</v>
      </c>
      <c r="M197" s="95" t="str">
        <f t="shared" si="108"/>
        <v>0</v>
      </c>
      <c r="N197" s="95" t="str">
        <f t="shared" si="109"/>
        <v>0</v>
      </c>
      <c r="O197" s="95" t="str">
        <f t="shared" si="110"/>
        <v>0</v>
      </c>
      <c r="P197" s="95" t="str">
        <f t="shared" si="111"/>
        <v>0</v>
      </c>
      <c r="Q197" s="95">
        <f>IF(AND(G197=T$17,LEN(G197)&gt;1),1,0)</f>
        <v>0</v>
      </c>
      <c r="R197" s="97">
        <f>Singles!D$18</f>
        <v>16</v>
      </c>
      <c r="S197" s="95">
        <f>IF(AND(H197=H$17,LEN(H197)&gt;1,Q197=1),1,0)</f>
        <v>0</v>
      </c>
      <c r="T197" s="95" t="str">
        <f t="shared" si="112"/>
        <v>No</v>
      </c>
      <c r="U197" s="95" t="str">
        <f>IF(T197="Winner",IF(V197&gt;V179,B181,B163),"")</f>
        <v/>
      </c>
      <c r="V197" s="97">
        <f>VLOOKUP(16,X182:Y197,2,0)</f>
        <v>1</v>
      </c>
      <c r="W197" s="95">
        <v>16</v>
      </c>
      <c r="X197" s="95">
        <f t="shared" si="113"/>
        <v>16</v>
      </c>
      <c r="Y197" s="95">
        <f t="shared" si="114"/>
        <v>1</v>
      </c>
      <c r="Z197" s="95">
        <f t="shared" si="115"/>
        <v>1</v>
      </c>
    </row>
    <row r="198" spans="1:26">
      <c r="T198" s="95" t="s">
        <v>89</v>
      </c>
      <c r="U198" s="95" t="s">
        <v>125</v>
      </c>
      <c r="W198" s="95">
        <v>17</v>
      </c>
    </row>
    <row r="199" spans="1:26">
      <c r="A199" s="95" t="str">
        <f>IF(LEN(VLOOKUP(B199,Singles!$A$2:$B$33,2,0))&gt;0,VLOOKUP(B199,Singles!$A$2:$B$33,2,0),"")</f>
        <v/>
      </c>
      <c r="B199" s="96" t="str">
        <f>Singles!L94</f>
        <v>Milton</v>
      </c>
      <c r="C199" s="96">
        <v>11</v>
      </c>
      <c r="D199" s="95" t="str">
        <f>VLOOKUP(B199,Singles!$A$2:$C$33,3,0)</f>
        <v>BRA</v>
      </c>
      <c r="J199" s="95" t="s">
        <v>88</v>
      </c>
      <c r="Q199" s="95" t="s">
        <v>121</v>
      </c>
      <c r="S199" s="95" t="s">
        <v>122</v>
      </c>
      <c r="T199" s="95" t="str">
        <f>IF(LEN(A199)&gt;0,"("&amp;A199&amp;") "&amp;B199,B199)&amp;IF(LEN(D199)&gt;1," ("&amp;D199&amp;")","")</f>
        <v>Milton (BRA)</v>
      </c>
      <c r="V199" s="95" t="s">
        <v>123</v>
      </c>
      <c r="Y199" s="95" t="s">
        <v>123</v>
      </c>
    </row>
    <row r="200" spans="1:26">
      <c r="A200" s="95">
        <v>1</v>
      </c>
      <c r="B200" s="95" t="str">
        <f>Singles!L95</f>
        <v>GHEM 6/4 6/4</v>
      </c>
      <c r="C200" s="99" t="str">
        <f>IF(OR(LEFT(B200,LEN(B$2))=B$2,LEFT(B200,LEN(C$2))=C$2,LEN(B200)&lt;2),"","Wrong pick")</f>
        <v/>
      </c>
      <c r="D200" s="95">
        <f t="shared" ref="D200:D215" ca="1" si="116">IF(OR(G200=G218,INDIRECT(ADDRESS(A200+1,6,1))&gt;0),0,1)</f>
        <v>0</v>
      </c>
      <c r="E200" s="95" t="str">
        <f ca="1">IF(AND(D200=1,J200=$I$2),G200&amp;", ","")&amp;IF(AND(D201=1,J201=$I$2),G201&amp;", ","")&amp;IF(AND(D202=1,J202=$I$2),G202&amp;", ","")&amp;IF(AND(D203=1,J203=$I$2),G203&amp;", ","")&amp;IF(AND(D204=1,J204=$I$2),G204&amp;", ","")&amp;IF(AND(D205=1,J205=$I$2),G205&amp;", ","")&amp;IF(AND(D206=1,J206=$I$2),G206&amp;", ","")&amp;IF(AND(D207=1,J207=$I$2),G207&amp;", ","")&amp;IF(AND(D208=1,J208=$I$2),G208&amp;", ","")&amp;IF(AND(D209=1,J209=$I$2),G209&amp;", ","")&amp;IF(AND(D210=1,J210=$I$2),G210&amp;", ","")&amp;IF(AND(D211=1,J211=$I$2),G211&amp;", ","")&amp;IF(AND(D212=1,J212=$I$2),G212&amp;", ","")&amp;IF(AND(D213=1,J213=$I$2),G213&amp;", ","")&amp;IF(AND(D214=1,J214=$I$2),G214&amp;", ","")&amp;IF(AND(D215=1,J215=$I$2),G215&amp;", ","")</f>
        <v xml:space="preserve">Lindell, matos, turini, </v>
      </c>
      <c r="F200" s="95" t="str">
        <f>IF(AND(SUM(Z200:Z215)=$I$4,NOT(B199="Bye")),"Missing picks from "&amp;B199&amp;" ","")</f>
        <v/>
      </c>
      <c r="G200" s="95" t="str">
        <f>IF(B200=0,"",IF(LEFT(B200,LEN(B$2))=B$2,B$2,C$2))</f>
        <v>Ghem</v>
      </c>
      <c r="H200" s="95" t="str">
        <f t="shared" ref="H200:H215" si="117">IF(L200="","",IF(K200="PTS",IF(LEN(O200)&lt;8,"2-0","2-1"),LEFT(O200,1)&amp;"-"&amp;RIGHT(O200,1)))</f>
        <v>2-0</v>
      </c>
      <c r="I200" s="95" t="str">
        <f ca="1">IF(AND(J200=Singles!$H$21,INDIRECT(ADDRESS(A200+1,6,1))=0,NOT(INDIRECT(ADDRESS(A200+1,5,1))="")),IF(D200=0,IF(H200=H218,"",G200&amp;" "&amp;H200&amp;" v "&amp;H218&amp;", "),G200&amp;" "&amp;H200&amp;" vs. "&amp;G218&amp;" "&amp;H218&amp;", "),"")</f>
        <v/>
      </c>
      <c r="J200" s="97">
        <f>Singles!H$3</f>
        <v>1</v>
      </c>
      <c r="K200" s="95" t="str">
        <f t="shared" ref="K200:K215" si="118">IF(LEN(L200)&gt;0,IF(LEN(O200)&lt;4,"SR","PTS"),"")</f>
        <v>PTS</v>
      </c>
      <c r="L200" s="95" t="str">
        <f t="shared" ref="L200:L215" si="119">TRIM(RIGHT(B200,LEN(B200)-LEN(G200)))</f>
        <v>6/4 6/4</v>
      </c>
      <c r="M200" s="95" t="str">
        <f t="shared" ref="M200:M215" si="120">SUBSTITUTE(L200,"-","")</f>
        <v>6/4 6/4</v>
      </c>
      <c r="N200" s="95" t="str">
        <f t="shared" ref="N200:N215" si="121">SUBSTITUTE(M200,","," ")</f>
        <v>6/4 6/4</v>
      </c>
      <c r="O200" s="95" t="str">
        <f t="shared" ref="O200:O215" si="122">IF(AND(LEN(TRIM(SUBSTITUTE(P200,"/","")))&gt;6,OR(LEFT(TRIM(SUBSTITUTE(P200,"/","")),2)="20",LEFT(TRIM(SUBSTITUTE(P200,"/","")),2)="21")),RIGHT(TRIM(SUBSTITUTE(P200,"/","")),LEN(TRIM(SUBSTITUTE(P200,"/","")))-3),TRIM(SUBSTITUTE(P200,"/","")))</f>
        <v>64 64</v>
      </c>
      <c r="P200" s="95" t="str">
        <f t="shared" ref="P200:P215" si="123">SUBSTITUTE(N200,":","")</f>
        <v>6/4 6/4</v>
      </c>
      <c r="Q200" s="95">
        <f>IF(AND(G200=T$2,LEN(G200)&gt;1),1,0)</f>
        <v>0</v>
      </c>
      <c r="R200" s="97">
        <f>Singles!D$3</f>
        <v>1</v>
      </c>
      <c r="S200" s="95">
        <f>IF(AND(H200=H$2,LEN(H200)&gt;1,Q200=1),1,0)</f>
        <v>0</v>
      </c>
      <c r="T200" s="95" t="str">
        <f ca="1">" SR Differences: "&amp;IF(LEN(I200&amp;I201&amp;I202&amp;I203&amp;I204&amp;I205&amp;I206&amp;I207&amp;I208&amp;I209&amp;I210&amp;I211&amp;I212&amp;I213&amp;I214&amp;I215)&lt;3,"None..",I200&amp;I201&amp;I202&amp;I203&amp;I204&amp;I205&amp;I206&amp;I207&amp;I208&amp;I209&amp;I210&amp;I211&amp;I212&amp;I213&amp;I214&amp;I215)</f>
        <v xml:space="preserve"> SR Differences: Lindell 2-0 vs. Duran 2-0, matos 2-0 vs. collinari 2-0, turini 2-0 vs. galdon 2-0, </v>
      </c>
      <c r="V200" s="97">
        <f>VLOOKUP(1,X200:Y215,2,0)</f>
        <v>1</v>
      </c>
      <c r="X200" s="95">
        <f t="shared" ref="X200:X215" si="124">R200</f>
        <v>1</v>
      </c>
      <c r="Y200" s="95">
        <f t="shared" ref="Y200:Y215" si="125">IF(Q200=1,IF(S200=1,4,3),IF(H200="2-1",2,1))</f>
        <v>1</v>
      </c>
      <c r="Z200" s="95">
        <f t="shared" ref="Z200:Z215" si="126">IF(AND($I$2=J200,B200=0),1,0)</f>
        <v>0</v>
      </c>
    </row>
    <row r="201" spans="1:26">
      <c r="A201" s="95">
        <v>2</v>
      </c>
      <c r="B201" s="95" t="str">
        <f>Singles!L96</f>
        <v>MACHADO 6/4 6/4</v>
      </c>
      <c r="C201" s="100" t="str">
        <f>IF(OR(LEFT(B201,LEN(B$3))=B$3,LEFT(B201,LEN(C$3))=C$3,LEN(B201)&lt;2),"","Wrong pick")</f>
        <v/>
      </c>
      <c r="D201" s="95">
        <f t="shared" ca="1" si="116"/>
        <v>0</v>
      </c>
      <c r="G201" s="95" t="str">
        <f>IF(B201=0,"",IF(LEFT(B201,LEN(B$3))=B$3,B$3,C$3))</f>
        <v>Machado</v>
      </c>
      <c r="H201" s="95" t="str">
        <f t="shared" si="117"/>
        <v>2-0</v>
      </c>
      <c r="I201" s="95" t="str">
        <f ca="1">IF(AND(J201=Singles!$H$21,INDIRECT(ADDRESS(A201+1,6,1))=0,NOT(INDIRECT(ADDRESS(A201+1,5,1))="")),IF(D201=0,IF(H201=H219,"",G201&amp;" "&amp;H201&amp;" v "&amp;H219&amp;", "),G201&amp;" "&amp;H201&amp;" vs. "&amp;G219&amp;" "&amp;H219&amp;", "),"")</f>
        <v/>
      </c>
      <c r="J201" s="97">
        <f>Singles!H$4</f>
        <v>1</v>
      </c>
      <c r="K201" s="95" t="str">
        <f t="shared" si="118"/>
        <v>PTS</v>
      </c>
      <c r="L201" s="95" t="str">
        <f t="shared" si="119"/>
        <v>6/4 6/4</v>
      </c>
      <c r="M201" s="95" t="str">
        <f t="shared" si="120"/>
        <v>6/4 6/4</v>
      </c>
      <c r="N201" s="95" t="str">
        <f t="shared" si="121"/>
        <v>6/4 6/4</v>
      </c>
      <c r="O201" s="95" t="str">
        <f t="shared" si="122"/>
        <v>64 64</v>
      </c>
      <c r="P201" s="95" t="str">
        <f t="shared" si="123"/>
        <v>6/4 6/4</v>
      </c>
      <c r="Q201" s="95">
        <f>IF(AND(G201=T$3,LEN(G201)&gt;1),1,0)</f>
        <v>0</v>
      </c>
      <c r="R201" s="97">
        <f>Singles!D$4</f>
        <v>2</v>
      </c>
      <c r="S201" s="95">
        <f>IF(AND(H201=H$3,LEN(H201)&gt;1,Q201=1),1,0)</f>
        <v>0</v>
      </c>
      <c r="T201" s="95" t="str">
        <f ca="1">IF(T202&gt;0,LEFT(E200,LEN(E200)-2)&amp;" vs. "&amp;LEFT(E218,LEN(E218)-2),IF(SUMIF(Singles!$H$3:$H$18,"="&amp;Singles!$H$21,Singles!$I$3:$I$18)=0,"Same winners;",""))</f>
        <v>Lindell, matos, turini vs. Duran, collinari, galdon</v>
      </c>
      <c r="V201" s="97">
        <f>VLOOKUP(2,X200:Y215,2,0)</f>
        <v>1</v>
      </c>
      <c r="X201" s="95">
        <f t="shared" si="124"/>
        <v>2</v>
      </c>
      <c r="Y201" s="95">
        <f t="shared" si="125"/>
        <v>1</v>
      </c>
      <c r="Z201" s="95">
        <f t="shared" si="126"/>
        <v>0</v>
      </c>
    </row>
    <row r="202" spans="1:26">
      <c r="A202" s="95">
        <v>3</v>
      </c>
      <c r="B202" s="95" t="str">
        <f>Singles!L97</f>
        <v>JUNQUEIRA 6/4 6/4</v>
      </c>
      <c r="C202" s="100" t="str">
        <f>IF(OR(LEFT(B202,LEN(B$4))=B$4,LEFT(B202,LEN(C$4))=C$4,LEN(B202)&lt;2),"","Wrong pick")</f>
        <v/>
      </c>
      <c r="D202" s="95">
        <f t="shared" ca="1" si="116"/>
        <v>0</v>
      </c>
      <c r="G202" s="95" t="str">
        <f>IF(B202=0,"",IF(LEFT(B202,LEN(B$4))=B$4,B$4,C$4))</f>
        <v>Junqueira</v>
      </c>
      <c r="H202" s="95" t="str">
        <f t="shared" si="117"/>
        <v>2-0</v>
      </c>
      <c r="I202" s="95" t="str">
        <f ca="1">IF(AND(J202=Singles!$H$21,INDIRECT(ADDRESS(A202+1,6,1))=0,NOT(INDIRECT(ADDRESS(A202+1,5,1))="")),IF(D202=0,IF(H202=H220,"",G202&amp;" "&amp;H202&amp;" v "&amp;H220&amp;", "),G202&amp;" "&amp;H202&amp;" vs. "&amp;G220&amp;" "&amp;H220&amp;", "),"")</f>
        <v/>
      </c>
      <c r="J202" s="97">
        <f>Singles!H$5</f>
        <v>1</v>
      </c>
      <c r="K202" s="95" t="str">
        <f t="shared" si="118"/>
        <v>PTS</v>
      </c>
      <c r="L202" s="95" t="str">
        <f t="shared" si="119"/>
        <v>6/4 6/4</v>
      </c>
      <c r="M202" s="95" t="str">
        <f t="shared" si="120"/>
        <v>6/4 6/4</v>
      </c>
      <c r="N202" s="95" t="str">
        <f t="shared" si="121"/>
        <v>6/4 6/4</v>
      </c>
      <c r="O202" s="95" t="str">
        <f t="shared" si="122"/>
        <v>64 64</v>
      </c>
      <c r="P202" s="95" t="str">
        <f t="shared" si="123"/>
        <v>6/4 6/4</v>
      </c>
      <c r="Q202" s="95">
        <f>IF(AND(G202=T$4,LEN(G202)&gt;1),1,0)</f>
        <v>0</v>
      </c>
      <c r="R202" s="97">
        <f>Singles!D$5</f>
        <v>3</v>
      </c>
      <c r="S202" s="95">
        <f>IF(AND(H202=H$4,LEN(H202)&gt;1,Q202=1),1,0)</f>
        <v>0</v>
      </c>
      <c r="T202" s="101">
        <f ca="1">SUMIF(J200:J215,$I$2,D200:D215)</f>
        <v>3</v>
      </c>
      <c r="V202" s="97">
        <f>VLOOKUP(3,X200:Y215,2,0)</f>
        <v>1</v>
      </c>
      <c r="X202" s="95">
        <f t="shared" si="124"/>
        <v>3</v>
      </c>
      <c r="Y202" s="95">
        <f t="shared" si="125"/>
        <v>1</v>
      </c>
      <c r="Z202" s="95">
        <f t="shared" si="126"/>
        <v>0</v>
      </c>
    </row>
    <row r="203" spans="1:26">
      <c r="A203" s="95">
        <v>4</v>
      </c>
      <c r="B203" s="95" t="str">
        <f>Singles!L98</f>
        <v>LARANJA 6/4 6/4</v>
      </c>
      <c r="C203" s="100" t="str">
        <f>IF(OR(LEFT(B203,LEN(B$5))=B$5,LEFT(B203,LEN(C$5))=C$5,LEN(B203)&lt;2),"","Wrong pick")</f>
        <v/>
      </c>
      <c r="D203" s="95">
        <f t="shared" ca="1" si="116"/>
        <v>0</v>
      </c>
      <c r="G203" s="95" t="str">
        <f>IF(B203=0,"",IF(LEFT(B203,LEN(B$5))=B$5,B$5,C$5))</f>
        <v>Laranja</v>
      </c>
      <c r="H203" s="95" t="str">
        <f t="shared" si="117"/>
        <v>2-0</v>
      </c>
      <c r="I203" s="95" t="str">
        <f ca="1">IF(AND(J203=Singles!$H$21,INDIRECT(ADDRESS(A203+1,6,1))=0,NOT(INDIRECT(ADDRESS(A203+1,5,1))="")),IF(D203=0,IF(H203=H221,"",G203&amp;" "&amp;H203&amp;" v "&amp;H221&amp;", "),G203&amp;" "&amp;H203&amp;" vs. "&amp;G221&amp;" "&amp;H221&amp;", "),"")</f>
        <v/>
      </c>
      <c r="J203" s="97">
        <f>Singles!H$6</f>
        <v>1</v>
      </c>
      <c r="K203" s="95" t="str">
        <f t="shared" si="118"/>
        <v>PTS</v>
      </c>
      <c r="L203" s="95" t="str">
        <f t="shared" si="119"/>
        <v>6/4 6/4</v>
      </c>
      <c r="M203" s="95" t="str">
        <f t="shared" si="120"/>
        <v>6/4 6/4</v>
      </c>
      <c r="N203" s="95" t="str">
        <f t="shared" si="121"/>
        <v>6/4 6/4</v>
      </c>
      <c r="O203" s="95" t="str">
        <f t="shared" si="122"/>
        <v>64 64</v>
      </c>
      <c r="P203" s="95" t="str">
        <f t="shared" si="123"/>
        <v>6/4 6/4</v>
      </c>
      <c r="Q203" s="95">
        <f>IF(AND(G203=T$5,LEN(G203)&gt;1),1,0)</f>
        <v>0</v>
      </c>
      <c r="R203" s="97">
        <f>Singles!D$6</f>
        <v>4</v>
      </c>
      <c r="S203" s="95">
        <f>IF(AND(H203=H$5,LEN(H203)&gt;1,Q203=1),1,0)</f>
        <v>0</v>
      </c>
      <c r="T203" s="102" t="str">
        <f ca="1">IF(T205&lt;10,"0","")&amp;T205&amp;":"&amp;IF(T206&lt;10,"0","")&amp;T206&amp;" | [b]"&amp;IF(LEN(U203)&gt;0,U203,T199&amp;"[/b] vs. [b]"&amp;T217&amp;"[/b]"&amp;IF(Singles!$H$21&gt;1," (SR "&amp;U205&amp;":"&amp;U206&amp;")","")&amp;" - "&amp;IF(COUNTIF(C200:C233,"=Wrong Pick")&gt;0,"Incorrect pick, probably a spelling mistake",IF(AND(F200="",F218=""),T201&amp;IF(AND(OR(AND(Singles!$H$20&gt;1,Singles!$H$21&lt;Singles!$H$20),MOD(T202+T205+T206,2)=0),NOT(Singles!$H$23="No")),LEFT(T200,LEN(T200)-2),""),F200&amp;F218)))</f>
        <v>00:00 | [b]Milton (BRA)[/b] vs. [b](7) rneves (BRA)[/b] - Lindell, matos, turini vs. Duran, collinari, galdon</v>
      </c>
      <c r="U203" s="95" t="str">
        <f>IF(B199="Bye","Bye[/b] vs. [b][color=blue]"&amp;T217&amp;"[/color][/b]",IF(B217="Bye","[color=blue]"&amp;T199&amp;"[/color][/b] vs. [b]Bye[/b]",""))</f>
        <v/>
      </c>
      <c r="V203" s="97">
        <f>VLOOKUP(4,X200:Y215,2,0)</f>
        <v>1</v>
      </c>
      <c r="X203" s="95">
        <f t="shared" si="124"/>
        <v>4</v>
      </c>
      <c r="Y203" s="95">
        <f t="shared" si="125"/>
        <v>1</v>
      </c>
      <c r="Z203" s="95">
        <f t="shared" si="126"/>
        <v>0</v>
      </c>
    </row>
    <row r="204" spans="1:26">
      <c r="A204" s="95">
        <v>5</v>
      </c>
      <c r="B204" s="95" t="str">
        <f>Singles!L99</f>
        <v>PODLIPBIK-CASTILLO 6/4 6/4</v>
      </c>
      <c r="C204" s="100" t="str">
        <f>IF(OR(LEFT(B204,LEN(B$6))=B$6,LEFT(B204,LEN(C$6))=C$6,LEN(B204)&lt;2),"","Wrong pick")</f>
        <v/>
      </c>
      <c r="D204" s="95">
        <f t="shared" ca="1" si="116"/>
        <v>0</v>
      </c>
      <c r="G204" s="95" t="str">
        <f>IF(B204=0,"",IF(LEFT(B204,LEN(B$6))=B$6,B$6,C$6))</f>
        <v>PODLIPBIK-CASTILLO</v>
      </c>
      <c r="H204" s="95" t="str">
        <f t="shared" si="117"/>
        <v>2-0</v>
      </c>
      <c r="I204" s="95" t="str">
        <f ca="1">IF(AND(J204=Singles!$H$21,INDIRECT(ADDRESS(A204+1,6,1))=0,NOT(INDIRECT(ADDRESS(A204+1,5,1))="")),IF(D204=0,IF(H204=H222,"",G204&amp;" "&amp;H204&amp;" v "&amp;H222&amp;", "),G204&amp;" "&amp;H204&amp;" vs. "&amp;G222&amp;" "&amp;H222&amp;", "),"")</f>
        <v/>
      </c>
      <c r="J204" s="97">
        <f>Singles!H$7</f>
        <v>1</v>
      </c>
      <c r="K204" s="95" t="str">
        <f t="shared" si="118"/>
        <v>PTS</v>
      </c>
      <c r="L204" s="95" t="str">
        <f t="shared" si="119"/>
        <v>6/4 6/4</v>
      </c>
      <c r="M204" s="95" t="str">
        <f t="shared" si="120"/>
        <v>6/4 6/4</v>
      </c>
      <c r="N204" s="95" t="str">
        <f t="shared" si="121"/>
        <v>6/4 6/4</v>
      </c>
      <c r="O204" s="95" t="str">
        <f t="shared" si="122"/>
        <v>64 64</v>
      </c>
      <c r="P204" s="95" t="str">
        <f t="shared" si="123"/>
        <v>6/4 6/4</v>
      </c>
      <c r="Q204" s="95">
        <f>IF(AND(G204=T$6,LEN(G204)&gt;1),1,0)</f>
        <v>0</v>
      </c>
      <c r="R204" s="97">
        <f>Singles!D$7</f>
        <v>5</v>
      </c>
      <c r="S204" s="95">
        <f>IF(AND(H204=H$6,LEN(H204)&gt;1,Q204=1),1,0)</f>
        <v>0</v>
      </c>
      <c r="T204" s="103" t="str">
        <f>IF(Singles!$H$22=$F$18,IF(T205&gt;T206,B199,IF(T205&lt;T206,B217,IF(U205&gt;U206,B199,IF(U205&lt;U206,B217,T208)))),"No decision yet")</f>
        <v>No decision yet</v>
      </c>
      <c r="U204" s="104" t="str">
        <f>IF(T205&lt;10,"0","")&amp;T205&amp;":"&amp;IF(T206&lt;10,"0","")&amp;T206&amp;" | "&amp;IF(AND(A199&gt;0,A199&lt;33,B199=T204),"[b][color=Blue]"&amp;T199&amp;"[/color][/b]",IF(B199=T204,"[color=Blue]"&amp;T199&amp;"[/color]",IF(AND(A199&gt;0,A199&lt;33),"[b]"&amp;T199&amp;"[/b]",T199)))&amp;" vs. "&amp;IF(AND(A217&gt;0,A217&lt;33,B217=T204),"[b][color=Blue]"&amp;T217&amp;"[/color][/b]",IF(B217=T204,"[color=Blue]"&amp;T217&amp;"[/color]",IF(AND(A217&gt;0,A217&lt;33),"[b]"&amp;T217&amp;"[/b]",T217)))&amp;IF(OR(Singles!$B$40="yes",T205=T206)," #SRs: "&amp;U205&amp;"-"&amp;U206,"")&amp;IF(AND(T205=T206,U205=U206,U208&lt;17,Singles!$H$22=$F$18),", Shootout: SR"&amp;U208,"")</f>
        <v>00:00 | Milton (BRA) vs. [b](7) rneves (BRA)[/b] #SRs: 0-0</v>
      </c>
      <c r="V204" s="97">
        <f>VLOOKUP(5,X200:Y215,2,0)</f>
        <v>1</v>
      </c>
      <c r="X204" s="95">
        <f t="shared" si="124"/>
        <v>5</v>
      </c>
      <c r="Y204" s="95">
        <f t="shared" si="125"/>
        <v>1</v>
      </c>
      <c r="Z204" s="95">
        <f t="shared" si="126"/>
        <v>0</v>
      </c>
    </row>
    <row r="205" spans="1:26">
      <c r="A205" s="95">
        <v>6</v>
      </c>
      <c r="B205" s="95" t="str">
        <f>Singles!L100</f>
        <v>LINDELL 6/4 6/4</v>
      </c>
      <c r="C205" s="100" t="str">
        <f>IF(OR(LEFT(B205,LEN(B$7))=B$7,LEFT(B205,LEN(C$7))=C$7,LEN(B205)&lt;2),"","Wrong pick")</f>
        <v/>
      </c>
      <c r="D205" s="95">
        <f t="shared" ca="1" si="116"/>
        <v>1</v>
      </c>
      <c r="G205" s="95" t="str">
        <f>IF(B205=0,"",IF(LEFT(B205,LEN(B$7))=B$7,B$7,C$7))</f>
        <v>Lindell</v>
      </c>
      <c r="H205" s="95" t="str">
        <f t="shared" si="117"/>
        <v>2-0</v>
      </c>
      <c r="I205" s="95" t="str">
        <f ca="1">IF(AND(J205=Singles!$H$21,INDIRECT(ADDRESS(A205+1,6,1))=0,NOT(INDIRECT(ADDRESS(A205+1,5,1))="")),IF(D205=0,IF(H205=H223,"",G205&amp;" "&amp;H205&amp;" v "&amp;H223&amp;", "),G205&amp;" "&amp;H205&amp;" vs. "&amp;G223&amp;" "&amp;H223&amp;", "),"")</f>
        <v xml:space="preserve">Lindell 2-0 vs. Duran 2-0, </v>
      </c>
      <c r="J205" s="97">
        <f>Singles!H$8</f>
        <v>1</v>
      </c>
      <c r="K205" s="95" t="str">
        <f t="shared" si="118"/>
        <v>PTS</v>
      </c>
      <c r="L205" s="95" t="str">
        <f t="shared" si="119"/>
        <v>6/4 6/4</v>
      </c>
      <c r="M205" s="95" t="str">
        <f t="shared" si="120"/>
        <v>6/4 6/4</v>
      </c>
      <c r="N205" s="95" t="str">
        <f t="shared" si="121"/>
        <v>6/4 6/4</v>
      </c>
      <c r="O205" s="95" t="str">
        <f t="shared" si="122"/>
        <v>64 64</v>
      </c>
      <c r="P205" s="95" t="str">
        <f t="shared" si="123"/>
        <v>6/4 6/4</v>
      </c>
      <c r="Q205" s="95">
        <f>IF(AND(G205=T$7,LEN(G205)&gt;1),1,0)</f>
        <v>0</v>
      </c>
      <c r="R205" s="97">
        <f>Singles!D$8</f>
        <v>6</v>
      </c>
      <c r="S205" s="95">
        <f>IF(AND(H205=H$7,LEN(H205)&gt;1,Q205=1),1,0)</f>
        <v>0</v>
      </c>
      <c r="T205" s="105">
        <f>SUM(Q200:Q215)</f>
        <v>0</v>
      </c>
      <c r="U205" s="97">
        <f>SUM(S200:S215)</f>
        <v>0</v>
      </c>
      <c r="V205" s="97">
        <f>VLOOKUP(6,X200:Y215,2,0)</f>
        <v>1</v>
      </c>
      <c r="X205" s="95">
        <f t="shared" si="124"/>
        <v>6</v>
      </c>
      <c r="Y205" s="95">
        <f t="shared" si="125"/>
        <v>1</v>
      </c>
      <c r="Z205" s="95">
        <f t="shared" si="126"/>
        <v>0</v>
      </c>
    </row>
    <row r="206" spans="1:26">
      <c r="A206" s="95">
        <v>7</v>
      </c>
      <c r="B206" s="95" t="str">
        <f>Singles!L101</f>
        <v>SORGI 6/4 6/4</v>
      </c>
      <c r="C206" s="100" t="str">
        <f>IF(OR(LEFT(B206,LEN(B$8))=B$8,LEFT(B206,LEN(C$8))=C$8,LEN(B206)&lt;2),"","Wrong pick")</f>
        <v/>
      </c>
      <c r="D206" s="95">
        <f t="shared" ca="1" si="116"/>
        <v>0</v>
      </c>
      <c r="G206" s="95" t="str">
        <f>IF(B206=0,"",IF(LEFT(B206,LEN(B$8))=B$8,B$8,C$8))</f>
        <v>Sorgi</v>
      </c>
      <c r="H206" s="95" t="str">
        <f t="shared" si="117"/>
        <v>2-0</v>
      </c>
      <c r="I206" s="95" t="str">
        <f ca="1">IF(AND(J206=Singles!$H$21,INDIRECT(ADDRESS(A206+1,6,1))=0,NOT(INDIRECT(ADDRESS(A206+1,5,1))="")),IF(D206=0,IF(H206=H224,"",G206&amp;" "&amp;H206&amp;" v "&amp;H224&amp;", "),G206&amp;" "&amp;H206&amp;" vs. "&amp;G224&amp;" "&amp;H224&amp;", "),"")</f>
        <v/>
      </c>
      <c r="J206" s="97">
        <f>Singles!H$9</f>
        <v>1</v>
      </c>
      <c r="K206" s="95" t="str">
        <f t="shared" si="118"/>
        <v>PTS</v>
      </c>
      <c r="L206" s="95" t="str">
        <f t="shared" si="119"/>
        <v>6/4 6/4</v>
      </c>
      <c r="M206" s="95" t="str">
        <f t="shared" si="120"/>
        <v>6/4 6/4</v>
      </c>
      <c r="N206" s="95" t="str">
        <f t="shared" si="121"/>
        <v>6/4 6/4</v>
      </c>
      <c r="O206" s="95" t="str">
        <f t="shared" si="122"/>
        <v>64 64</v>
      </c>
      <c r="P206" s="95" t="str">
        <f t="shared" si="123"/>
        <v>6/4 6/4</v>
      </c>
      <c r="Q206" s="95">
        <f>IF(AND(G206=T$8,LEN(G206)&gt;1),1,0)</f>
        <v>0</v>
      </c>
      <c r="R206" s="97">
        <f>Singles!D$9</f>
        <v>7</v>
      </c>
      <c r="S206" s="95">
        <f>IF(AND(H206=H$8,LEN(H206)&gt;1,Q206=1),1,0)</f>
        <v>0</v>
      </c>
      <c r="T206" s="105">
        <f>SUM(Q218:Q233)</f>
        <v>0</v>
      </c>
      <c r="U206" s="97">
        <f>SUM(S218:S233)</f>
        <v>0</v>
      </c>
      <c r="V206" s="97">
        <f>VLOOKUP(7,X200:Y215,2,0)</f>
        <v>1</v>
      </c>
      <c r="X206" s="95">
        <f t="shared" si="124"/>
        <v>7</v>
      </c>
      <c r="Y206" s="95">
        <f t="shared" si="125"/>
        <v>1</v>
      </c>
      <c r="Z206" s="95">
        <f t="shared" si="126"/>
        <v>0</v>
      </c>
    </row>
    <row r="207" spans="1:26">
      <c r="A207" s="95">
        <v>8</v>
      </c>
      <c r="B207" s="95" t="str">
        <f>Singles!L102</f>
        <v>GONZALEZ 6/4 6/4</v>
      </c>
      <c r="C207" s="100" t="str">
        <f>IF(OR(LEFT(B207,LEN(B$9))=B$9,LEFT(B207,LEN(C$9))=C$9,LEN(B207)&lt;2),"","Wrong pick")</f>
        <v/>
      </c>
      <c r="D207" s="95">
        <f t="shared" ca="1" si="116"/>
        <v>0</v>
      </c>
      <c r="G207" s="95" t="str">
        <f>IF(B207=0,"",IF(LEFT(B207,LEN(B$9))=B$9,B$9,C$9))</f>
        <v>gonzalez</v>
      </c>
      <c r="H207" s="95" t="str">
        <f t="shared" si="117"/>
        <v>2-0</v>
      </c>
      <c r="I207" s="95" t="str">
        <f ca="1">IF(AND(J207=Singles!$H$21,INDIRECT(ADDRESS(A207+1,6,1))=0,NOT(INDIRECT(ADDRESS(A207+1,5,1))="")),IF(D207=0,IF(H207=H225,"",G207&amp;" "&amp;H207&amp;" v "&amp;H225&amp;", "),G207&amp;" "&amp;H207&amp;" vs. "&amp;G225&amp;" "&amp;H225&amp;", "),"")</f>
        <v/>
      </c>
      <c r="J207" s="97">
        <f>Singles!H$10</f>
        <v>1</v>
      </c>
      <c r="K207" s="95" t="str">
        <f t="shared" si="118"/>
        <v>PTS</v>
      </c>
      <c r="L207" s="95" t="str">
        <f t="shared" si="119"/>
        <v>6/4 6/4</v>
      </c>
      <c r="M207" s="95" t="str">
        <f t="shared" si="120"/>
        <v>6/4 6/4</v>
      </c>
      <c r="N207" s="95" t="str">
        <f t="shared" si="121"/>
        <v>6/4 6/4</v>
      </c>
      <c r="O207" s="95" t="str">
        <f t="shared" si="122"/>
        <v>64 64</v>
      </c>
      <c r="P207" s="95" t="str">
        <f t="shared" si="123"/>
        <v>6/4 6/4</v>
      </c>
      <c r="Q207" s="95">
        <f>IF(AND(G207=T$9,LEN(G207)&gt;1),1,0)</f>
        <v>0</v>
      </c>
      <c r="R207" s="97">
        <f>Singles!D$10</f>
        <v>8</v>
      </c>
      <c r="S207" s="95">
        <f>IF(AND(H207=H$9,LEN(H207)&gt;1,Q207=1),1,0)</f>
        <v>0</v>
      </c>
      <c r="V207" s="97">
        <f>VLOOKUP(8,X200:Y215,2,0)</f>
        <v>1</v>
      </c>
      <c r="X207" s="95">
        <f t="shared" si="124"/>
        <v>8</v>
      </c>
      <c r="Y207" s="95">
        <f t="shared" si="125"/>
        <v>1</v>
      </c>
      <c r="Z207" s="95">
        <f t="shared" si="126"/>
        <v>0</v>
      </c>
    </row>
    <row r="208" spans="1:26">
      <c r="A208" s="95">
        <v>9</v>
      </c>
      <c r="B208" s="95" t="str">
        <f>Singles!L103</f>
        <v>PEREIRA 6/4 6/4</v>
      </c>
      <c r="C208" s="100" t="str">
        <f>IF(OR(LEFT(B208,LEN(B$10))=B$10,LEFT(B208,LEN(C$10))=C$10,LEN(B208)&lt;2),"","Wrong pick")</f>
        <v/>
      </c>
      <c r="D208" s="95">
        <f t="shared" ca="1" si="116"/>
        <v>0</v>
      </c>
      <c r="G208" s="95" t="str">
        <f>IF(B208=0,"",IF(LEFT(B208,LEN(B$10))=B$10,B$10,C$10))</f>
        <v>pereira</v>
      </c>
      <c r="H208" s="95" t="str">
        <f t="shared" si="117"/>
        <v>2-0</v>
      </c>
      <c r="I208" s="95" t="str">
        <f ca="1">IF(AND(J208=Singles!$H$21,INDIRECT(ADDRESS(A208+1,6,1))=0,NOT(INDIRECT(ADDRESS(A208+1,5,1))="")),IF(D208=0,IF(H208=H226,"",G208&amp;" "&amp;H208&amp;" v "&amp;H226&amp;", "),G208&amp;" "&amp;H208&amp;" vs. "&amp;G226&amp;" "&amp;H226&amp;", "),"")</f>
        <v/>
      </c>
      <c r="J208" s="97">
        <f>Singles!H$11</f>
        <v>1</v>
      </c>
      <c r="K208" s="95" t="str">
        <f t="shared" si="118"/>
        <v>PTS</v>
      </c>
      <c r="L208" s="95" t="str">
        <f t="shared" si="119"/>
        <v>6/4 6/4</v>
      </c>
      <c r="M208" s="95" t="str">
        <f t="shared" si="120"/>
        <v>6/4 6/4</v>
      </c>
      <c r="N208" s="95" t="str">
        <f t="shared" si="121"/>
        <v>6/4 6/4</v>
      </c>
      <c r="O208" s="95" t="str">
        <f t="shared" si="122"/>
        <v>64 64</v>
      </c>
      <c r="P208" s="95" t="str">
        <f t="shared" si="123"/>
        <v>6/4 6/4</v>
      </c>
      <c r="Q208" s="95">
        <f>IF(AND(G208=T$10,LEN(G208)&gt;1),1,0)</f>
        <v>0</v>
      </c>
      <c r="R208" s="97">
        <f>Singles!D$11</f>
        <v>9</v>
      </c>
      <c r="S208" s="95">
        <f>IF(AND(H208=H$10,LEN(H208)&gt;1,Q208=1),1,0)</f>
        <v>0</v>
      </c>
      <c r="T208" s="95" t="str">
        <f>VLOOKUP("Winner",T218:U234,2,0)</f>
        <v>Tied; see PTS</v>
      </c>
      <c r="U208" s="95">
        <f>VLOOKUP(T208,U218:W234,3,0)</f>
        <v>17</v>
      </c>
      <c r="V208" s="97">
        <f>VLOOKUP(9,X200:Y215,2,0)</f>
        <v>1</v>
      </c>
      <c r="X208" s="95">
        <f t="shared" si="124"/>
        <v>9</v>
      </c>
      <c r="Y208" s="95">
        <f t="shared" si="125"/>
        <v>1</v>
      </c>
      <c r="Z208" s="95">
        <f t="shared" si="126"/>
        <v>0</v>
      </c>
    </row>
    <row r="209" spans="1:26">
      <c r="A209" s="95">
        <v>10</v>
      </c>
      <c r="B209" s="95" t="str">
        <f>Singles!L104</f>
        <v>MATOS 6/4 6/4</v>
      </c>
      <c r="C209" s="100" t="str">
        <f>IF(OR(LEFT(B209,LEN(B$11))=B$11,LEFT(B209,LEN(C$11))=C$11,LEN(B209)&lt;2),"","Wrong pick")</f>
        <v/>
      </c>
      <c r="D209" s="95">
        <f t="shared" ca="1" si="116"/>
        <v>1</v>
      </c>
      <c r="G209" s="95" t="str">
        <f>IF(B209=0,"",IF(LEFT(B209,LEN(B$11))=B$11,B$11,C$11))</f>
        <v>matos</v>
      </c>
      <c r="H209" s="95" t="str">
        <f t="shared" si="117"/>
        <v>2-0</v>
      </c>
      <c r="I209" s="95" t="str">
        <f ca="1">IF(AND(J209=Singles!$H$21,INDIRECT(ADDRESS(A209+1,6,1))=0,NOT(INDIRECT(ADDRESS(A209+1,5,1))="")),IF(D209=0,IF(H209=H227,"",G209&amp;" "&amp;H209&amp;" v "&amp;H227&amp;", "),G209&amp;" "&amp;H209&amp;" vs. "&amp;G227&amp;" "&amp;H227&amp;", "),"")</f>
        <v xml:space="preserve">matos 2-0 vs. collinari 2-0, </v>
      </c>
      <c r="J209" s="97">
        <f>Singles!H$12</f>
        <v>1</v>
      </c>
      <c r="K209" s="95" t="str">
        <f t="shared" si="118"/>
        <v>PTS</v>
      </c>
      <c r="L209" s="95" t="str">
        <f t="shared" si="119"/>
        <v>6/4 6/4</v>
      </c>
      <c r="M209" s="95" t="str">
        <f t="shared" si="120"/>
        <v>6/4 6/4</v>
      </c>
      <c r="N209" s="95" t="str">
        <f t="shared" si="121"/>
        <v>6/4 6/4</v>
      </c>
      <c r="O209" s="95" t="str">
        <f t="shared" si="122"/>
        <v>64 64</v>
      </c>
      <c r="P209" s="95" t="str">
        <f t="shared" si="123"/>
        <v>6/4 6/4</v>
      </c>
      <c r="Q209" s="95">
        <f>IF(AND(G209=T$11,LEN(G209)&gt;1),1,0)</f>
        <v>0</v>
      </c>
      <c r="R209" s="97">
        <f>Singles!D$12</f>
        <v>10</v>
      </c>
      <c r="S209" s="95">
        <f>IF(AND(H209=H$11,LEN(H209)&gt;1,Q209=1),1,0)</f>
        <v>0</v>
      </c>
      <c r="V209" s="97">
        <f>VLOOKUP(10,X200:Y215,2,0)</f>
        <v>1</v>
      </c>
      <c r="X209" s="95">
        <f t="shared" si="124"/>
        <v>10</v>
      </c>
      <c r="Y209" s="95">
        <f t="shared" si="125"/>
        <v>1</v>
      </c>
      <c r="Z209" s="95">
        <f t="shared" si="126"/>
        <v>0</v>
      </c>
    </row>
    <row r="210" spans="1:26">
      <c r="A210" s="95">
        <v>11</v>
      </c>
      <c r="B210" s="95" t="str">
        <f>Singles!L105</f>
        <v>GINER 6/4 6/4</v>
      </c>
      <c r="C210" s="100" t="str">
        <f>IF(OR(LEFT(B210,LEN(B$12))=B$12,LEFT(B210,LEN(C$12))=C$12,LEN(B210)&lt;2),"","Wrong pick")</f>
        <v/>
      </c>
      <c r="D210" s="95">
        <f t="shared" ca="1" si="116"/>
        <v>0</v>
      </c>
      <c r="G210" s="95" t="str">
        <f>IF(B210=0,"",IF(LEFT(B210,LEN(B$12))=B$12,B$12,C$12))</f>
        <v>giner</v>
      </c>
      <c r="H210" s="95" t="str">
        <f t="shared" si="117"/>
        <v>2-0</v>
      </c>
      <c r="I210" s="95" t="str">
        <f ca="1">IF(AND(J210=Singles!$H$21,INDIRECT(ADDRESS(A210+1,6,1))=0,NOT(INDIRECT(ADDRESS(A210+1,5,1))="")),IF(D210=0,IF(H210=H228,"",G210&amp;" "&amp;H210&amp;" v "&amp;H228&amp;", "),G210&amp;" "&amp;H210&amp;" vs. "&amp;G228&amp;" "&amp;H228&amp;", "),"")</f>
        <v/>
      </c>
      <c r="J210" s="97">
        <f>Singles!H$13</f>
        <v>1</v>
      </c>
      <c r="K210" s="95" t="str">
        <f t="shared" si="118"/>
        <v>PTS</v>
      </c>
      <c r="L210" s="95" t="str">
        <f t="shared" si="119"/>
        <v>6/4 6/4</v>
      </c>
      <c r="M210" s="95" t="str">
        <f t="shared" si="120"/>
        <v>6/4 6/4</v>
      </c>
      <c r="N210" s="95" t="str">
        <f t="shared" si="121"/>
        <v>6/4 6/4</v>
      </c>
      <c r="O210" s="95" t="str">
        <f t="shared" si="122"/>
        <v>64 64</v>
      </c>
      <c r="P210" s="95" t="str">
        <f t="shared" si="123"/>
        <v>6/4 6/4</v>
      </c>
      <c r="Q210" s="95">
        <f>IF(AND(G210=T$12,LEN(G210)&gt;1),1,0)</f>
        <v>0</v>
      </c>
      <c r="R210" s="97">
        <f>Singles!D$13</f>
        <v>11</v>
      </c>
      <c r="S210" s="95">
        <f>IF(AND(H210=H$12,LEN(H210)&gt;1,Q210=1),1,0)</f>
        <v>0</v>
      </c>
      <c r="V210" s="97">
        <f>VLOOKUP(11,X200:Y215,2,0)</f>
        <v>1</v>
      </c>
      <c r="X210" s="95">
        <f t="shared" si="124"/>
        <v>11</v>
      </c>
      <c r="Y210" s="95">
        <f t="shared" si="125"/>
        <v>1</v>
      </c>
      <c r="Z210" s="95">
        <f t="shared" si="126"/>
        <v>0</v>
      </c>
    </row>
    <row r="211" spans="1:26">
      <c r="A211" s="95">
        <v>12</v>
      </c>
      <c r="B211" s="95" t="str">
        <f>Singles!L106</f>
        <v>TURINI 6/4 6/4</v>
      </c>
      <c r="C211" s="100" t="str">
        <f>IF(OR(LEFT(B211,LEN(B$13))=B$13,LEFT(B211,LEN(C$13))=C$13,LEN(B211)&lt;2),"","Wrong pick")</f>
        <v/>
      </c>
      <c r="D211" s="95">
        <f t="shared" ca="1" si="116"/>
        <v>1</v>
      </c>
      <c r="G211" s="95" t="str">
        <f>IF(B211=0,"",IF(LEFT(B211,LEN(B$13))=B$13,B$13,C$13))</f>
        <v>turini</v>
      </c>
      <c r="H211" s="95" t="str">
        <f t="shared" si="117"/>
        <v>2-0</v>
      </c>
      <c r="I211" s="95" t="str">
        <f ca="1">IF(AND(J211=Singles!$H$21,INDIRECT(ADDRESS(A211+1,6,1))=0,NOT(INDIRECT(ADDRESS(A211+1,5,1))="")),IF(D211=0,IF(H211=H229,"",G211&amp;" "&amp;H211&amp;" v "&amp;H229&amp;", "),G211&amp;" "&amp;H211&amp;" vs. "&amp;G229&amp;" "&amp;H229&amp;", "),"")</f>
        <v xml:space="preserve">turini 2-0 vs. galdon 2-0, </v>
      </c>
      <c r="J211" s="97">
        <f>Singles!H$14</f>
        <v>1</v>
      </c>
      <c r="K211" s="95" t="str">
        <f t="shared" si="118"/>
        <v>PTS</v>
      </c>
      <c r="L211" s="95" t="str">
        <f t="shared" si="119"/>
        <v>6/4 6/4</v>
      </c>
      <c r="M211" s="95" t="str">
        <f t="shared" si="120"/>
        <v>6/4 6/4</v>
      </c>
      <c r="N211" s="95" t="str">
        <f t="shared" si="121"/>
        <v>6/4 6/4</v>
      </c>
      <c r="O211" s="95" t="str">
        <f t="shared" si="122"/>
        <v>64 64</v>
      </c>
      <c r="P211" s="95" t="str">
        <f t="shared" si="123"/>
        <v>6/4 6/4</v>
      </c>
      <c r="Q211" s="95">
        <f>IF(AND(G211=T$13,LEN(G211)&gt;1),1,0)</f>
        <v>0</v>
      </c>
      <c r="R211" s="97">
        <f>Singles!D$14</f>
        <v>12</v>
      </c>
      <c r="S211" s="95">
        <f>IF(AND(H211=H$13,LEN(H211)&gt;1,Q211=1),1,0)</f>
        <v>0</v>
      </c>
      <c r="V211" s="97">
        <f>VLOOKUP(12,X200:Y215,2,0)</f>
        <v>1</v>
      </c>
      <c r="X211" s="95">
        <f t="shared" si="124"/>
        <v>12</v>
      </c>
      <c r="Y211" s="95">
        <f t="shared" si="125"/>
        <v>1</v>
      </c>
      <c r="Z211" s="95">
        <f t="shared" si="126"/>
        <v>0</v>
      </c>
    </row>
    <row r="212" spans="1:26">
      <c r="A212" s="95">
        <v>13</v>
      </c>
      <c r="B212" s="95" t="str">
        <f>Singles!L107</f>
        <v>LOBKOV 6/4 6/4</v>
      </c>
      <c r="C212" s="100" t="str">
        <f>IF(OR(LEFT(B212,LEN(B$14))=B$14,LEFT(B212,LEN(C$14))=C$14,LEN(B212)&lt;2),"","Wrong pick")</f>
        <v/>
      </c>
      <c r="D212" s="95">
        <f t="shared" ca="1" si="116"/>
        <v>0</v>
      </c>
      <c r="G212" s="95" t="str">
        <f>IF(B212=0,"",IF(LEFT(B212,LEN(B$14))=B$14,B$14,C$14))</f>
        <v>lobkov</v>
      </c>
      <c r="H212" s="95" t="str">
        <f t="shared" si="117"/>
        <v>2-0</v>
      </c>
      <c r="I212" s="95" t="str">
        <f ca="1">IF(AND(J212=Singles!$H$21,INDIRECT(ADDRESS(A212+1,6,1))=0,NOT(INDIRECT(ADDRESS(A212+1,5,1))="")),IF(D212=0,IF(H212=H230,"",G212&amp;" "&amp;H212&amp;" v "&amp;H230&amp;", "),G212&amp;" "&amp;H212&amp;" vs. "&amp;G230&amp;" "&amp;H230&amp;", "),"")</f>
        <v/>
      </c>
      <c r="J212" s="97">
        <f>Singles!H$15</f>
        <v>1</v>
      </c>
      <c r="K212" s="95" t="str">
        <f t="shared" si="118"/>
        <v>PTS</v>
      </c>
      <c r="L212" s="95" t="str">
        <f t="shared" si="119"/>
        <v>6/4 6/4</v>
      </c>
      <c r="M212" s="95" t="str">
        <f t="shared" si="120"/>
        <v>6/4 6/4</v>
      </c>
      <c r="N212" s="95" t="str">
        <f t="shared" si="121"/>
        <v>6/4 6/4</v>
      </c>
      <c r="O212" s="95" t="str">
        <f t="shared" si="122"/>
        <v>64 64</v>
      </c>
      <c r="P212" s="95" t="str">
        <f t="shared" si="123"/>
        <v>6/4 6/4</v>
      </c>
      <c r="Q212" s="95">
        <f>IF(AND(G212=T$14,LEN(G212)&gt;1),1,0)</f>
        <v>0</v>
      </c>
      <c r="R212" s="97">
        <f>Singles!D$15</f>
        <v>13</v>
      </c>
      <c r="S212" s="95">
        <f>IF(AND(H212=H$14,LEN(H212)&gt;1,Q212=1),1,0)</f>
        <v>0</v>
      </c>
      <c r="V212" s="97">
        <f>VLOOKUP(13,X200:Y215,2,0)</f>
        <v>1</v>
      </c>
      <c r="X212" s="95">
        <f t="shared" si="124"/>
        <v>13</v>
      </c>
      <c r="Y212" s="95">
        <f t="shared" si="125"/>
        <v>1</v>
      </c>
      <c r="Z212" s="95">
        <f t="shared" si="126"/>
        <v>0</v>
      </c>
    </row>
    <row r="213" spans="1:26">
      <c r="A213" s="95">
        <v>14</v>
      </c>
      <c r="B213" s="95" t="str">
        <f>Singles!L108</f>
        <v>SANTOS 6/4 6/4</v>
      </c>
      <c r="C213" s="100" t="str">
        <f>IF(OR(LEFT(B213,LEN(B$15))=B$15,LEFT(B213,LEN(C$15))=C$15,LEN(B213)&lt;2),"","Wrong pick")</f>
        <v/>
      </c>
      <c r="D213" s="95">
        <f t="shared" ca="1" si="116"/>
        <v>0</v>
      </c>
      <c r="G213" s="95" t="str">
        <f>IF(B213=0,"",IF(LEFT(B213,LEN(B$15))=B$15,B$15,C$15))</f>
        <v>santos</v>
      </c>
      <c r="H213" s="95" t="str">
        <f t="shared" si="117"/>
        <v>2-0</v>
      </c>
      <c r="I213" s="95" t="str">
        <f ca="1">IF(AND(J213=Singles!$H$21,INDIRECT(ADDRESS(A213+1,6,1))=0,NOT(INDIRECT(ADDRESS(A213+1,5,1))="")),IF(D213=0,IF(H213=H231,"",G213&amp;" "&amp;H213&amp;" v "&amp;H231&amp;", "),G213&amp;" "&amp;H213&amp;" vs. "&amp;G231&amp;" "&amp;H231&amp;", "),"")</f>
        <v/>
      </c>
      <c r="J213" s="97">
        <f>Singles!H$16</f>
        <v>1</v>
      </c>
      <c r="K213" s="95" t="str">
        <f t="shared" si="118"/>
        <v>PTS</v>
      </c>
      <c r="L213" s="95" t="str">
        <f t="shared" si="119"/>
        <v>6/4 6/4</v>
      </c>
      <c r="M213" s="95" t="str">
        <f t="shared" si="120"/>
        <v>6/4 6/4</v>
      </c>
      <c r="N213" s="95" t="str">
        <f t="shared" si="121"/>
        <v>6/4 6/4</v>
      </c>
      <c r="O213" s="95" t="str">
        <f t="shared" si="122"/>
        <v>64 64</v>
      </c>
      <c r="P213" s="95" t="str">
        <f t="shared" si="123"/>
        <v>6/4 6/4</v>
      </c>
      <c r="Q213" s="95">
        <f>IF(AND(G213=T$15,LEN(G213)&gt;1),1,0)</f>
        <v>0</v>
      </c>
      <c r="R213" s="97">
        <f>Singles!D$16</f>
        <v>14</v>
      </c>
      <c r="S213" s="95">
        <f>IF(AND(H213=H$15,LEN(H213)&gt;1,Q213=1),1,0)</f>
        <v>0</v>
      </c>
      <c r="V213" s="97">
        <f>VLOOKUP(14,X200:Y215,2,0)</f>
        <v>1</v>
      </c>
      <c r="X213" s="95">
        <f t="shared" si="124"/>
        <v>14</v>
      </c>
      <c r="Y213" s="95">
        <f t="shared" si="125"/>
        <v>1</v>
      </c>
      <c r="Z213" s="95">
        <f t="shared" si="126"/>
        <v>0</v>
      </c>
    </row>
    <row r="214" spans="1:26">
      <c r="A214" s="95">
        <v>15</v>
      </c>
      <c r="B214" s="95" t="str">
        <f>Singles!L109</f>
        <v>SANTOS 6/4 6/4</v>
      </c>
      <c r="C214" s="100" t="str">
        <f>IF(OR(LEFT(B214,LEN(B$16))=B$16,LEFT(B214,LEN(C$16))=C$16,LEN(B214)&lt;2),"","Wrong pick")</f>
        <v/>
      </c>
      <c r="D214" s="95">
        <f t="shared" ca="1" si="116"/>
        <v>0</v>
      </c>
      <c r="G214" s="95" t="str">
        <f>IF(B214=0,"",IF(LEFT(B214,LEN(B$16))=B$16,B$16,C$16))</f>
        <v>santos</v>
      </c>
      <c r="H214" s="95" t="str">
        <f t="shared" si="117"/>
        <v>2-0</v>
      </c>
      <c r="I214" s="95" t="str">
        <f ca="1">IF(AND(J214=Singles!$H$21,INDIRECT(ADDRESS(A214+1,6,1))=0,NOT(INDIRECT(ADDRESS(A214+1,5,1))="")),IF(D214=0,IF(H214=H232,"",G214&amp;" "&amp;H214&amp;" v "&amp;H232&amp;", "),G214&amp;" "&amp;H214&amp;" vs. "&amp;G232&amp;" "&amp;H232&amp;", "),"")</f>
        <v/>
      </c>
      <c r="J214" s="97">
        <f>Singles!H$17</f>
        <v>1</v>
      </c>
      <c r="K214" s="95" t="str">
        <f t="shared" si="118"/>
        <v>PTS</v>
      </c>
      <c r="L214" s="95" t="str">
        <f t="shared" si="119"/>
        <v>6/4 6/4</v>
      </c>
      <c r="M214" s="95" t="str">
        <f t="shared" si="120"/>
        <v>6/4 6/4</v>
      </c>
      <c r="N214" s="95" t="str">
        <f t="shared" si="121"/>
        <v>6/4 6/4</v>
      </c>
      <c r="O214" s="95" t="str">
        <f t="shared" si="122"/>
        <v>64 64</v>
      </c>
      <c r="P214" s="95" t="str">
        <f t="shared" si="123"/>
        <v>6/4 6/4</v>
      </c>
      <c r="Q214" s="95">
        <f>IF(AND(G214=T$16,LEN(G214)&gt;1),1,0)</f>
        <v>0</v>
      </c>
      <c r="R214" s="97">
        <f>Singles!D$17</f>
        <v>15</v>
      </c>
      <c r="S214" s="95">
        <f>IF(AND(H214=H$16,LEN(H214)&gt;1,Q214=1),1,0)</f>
        <v>0</v>
      </c>
      <c r="V214" s="97">
        <f>VLOOKUP(15,X200:Y215,2,0)</f>
        <v>1</v>
      </c>
      <c r="X214" s="95">
        <f t="shared" si="124"/>
        <v>15</v>
      </c>
      <c r="Y214" s="95">
        <f t="shared" si="125"/>
        <v>1</v>
      </c>
      <c r="Z214" s="95">
        <f t="shared" si="126"/>
        <v>0</v>
      </c>
    </row>
    <row r="215" spans="1:26">
      <c r="A215" s="95">
        <v>16</v>
      </c>
      <c r="B215" s="95" t="str">
        <f>Singles!L110</f>
        <v>LOJDA 6/4 6/4</v>
      </c>
      <c r="C215" s="100" t="str">
        <f>IF(OR(LEFT(B215,LEN(B$17))=B$17,LEFT(B215,LEN(C$17))=C$17,LEN(B215)&lt;2),"","Wrong pick")</f>
        <v/>
      </c>
      <c r="D215" s="95">
        <f t="shared" ca="1" si="116"/>
        <v>0</v>
      </c>
      <c r="G215" s="95" t="str">
        <f>IF(B215=0,"",IF(LEFT(B215,LEN(B$17))=B$17,B$17,C$17))</f>
        <v>lojda</v>
      </c>
      <c r="H215" s="95" t="str">
        <f t="shared" si="117"/>
        <v>2-0</v>
      </c>
      <c r="I215" s="95" t="str">
        <f ca="1">IF(AND(J215=Singles!$H$21,INDIRECT(ADDRESS(A215+1,6,1))=0,NOT(INDIRECT(ADDRESS(A215+1,5,1))="")),IF(D215=0,IF(H215=H233,"",G215&amp;" "&amp;H215&amp;" v "&amp;H233&amp;", "),G215&amp;" "&amp;H215&amp;" vs. "&amp;G233&amp;" "&amp;H233&amp;", "),"")</f>
        <v/>
      </c>
      <c r="J215" s="97">
        <f>Singles!H$18</f>
        <v>1</v>
      </c>
      <c r="K215" s="95" t="str">
        <f t="shared" si="118"/>
        <v>PTS</v>
      </c>
      <c r="L215" s="95" t="str">
        <f t="shared" si="119"/>
        <v>6/4 6/4</v>
      </c>
      <c r="M215" s="95" t="str">
        <f t="shared" si="120"/>
        <v>6/4 6/4</v>
      </c>
      <c r="N215" s="95" t="str">
        <f t="shared" si="121"/>
        <v>6/4 6/4</v>
      </c>
      <c r="O215" s="95" t="str">
        <f t="shared" si="122"/>
        <v>64 64</v>
      </c>
      <c r="P215" s="95" t="str">
        <f t="shared" si="123"/>
        <v>6/4 6/4</v>
      </c>
      <c r="Q215" s="95">
        <f>IF(AND(G215=T$17,LEN(G215)&gt;1),1,0)</f>
        <v>0</v>
      </c>
      <c r="R215" s="97">
        <f>Singles!D$18</f>
        <v>16</v>
      </c>
      <c r="S215" s="95">
        <f>IF(AND(H215=H$17,LEN(H215)&gt;1,Q215=1),1,0)</f>
        <v>0</v>
      </c>
      <c r="V215" s="97">
        <f>VLOOKUP(16,X200:Y215,2,0)</f>
        <v>1</v>
      </c>
      <c r="X215" s="95">
        <f t="shared" si="124"/>
        <v>16</v>
      </c>
      <c r="Y215" s="95">
        <f t="shared" si="125"/>
        <v>1</v>
      </c>
      <c r="Z215" s="95">
        <f t="shared" si="126"/>
        <v>0</v>
      </c>
    </row>
    <row r="217" spans="1:26">
      <c r="A217" s="95">
        <f>IF(LEN(VLOOKUP(B217,Singles!$A$2:$B$33,2,0))&gt;0,VLOOKUP(B217,Singles!$A$2:$B$33,2,0),"")</f>
        <v>7</v>
      </c>
      <c r="B217" s="96" t="str">
        <f>Singles!M94</f>
        <v>rneves</v>
      </c>
      <c r="C217" s="96">
        <v>12</v>
      </c>
      <c r="D217" s="95" t="str">
        <f>VLOOKUP(B217,Singles!$A$2:$C$33,3,0)</f>
        <v>BRA</v>
      </c>
      <c r="J217" s="95" t="s">
        <v>88</v>
      </c>
      <c r="Q217" s="95" t="s">
        <v>121</v>
      </c>
      <c r="S217" s="95" t="s">
        <v>122</v>
      </c>
      <c r="T217" s="95" t="str">
        <f>IF(LEN(A217)&gt;0,"("&amp;A217&amp;") "&amp;B217,B217)&amp;IF(LEN(D217)&gt;1," ("&amp;D217&amp;")","")</f>
        <v>(7) rneves (BRA)</v>
      </c>
      <c r="V217" s="95" t="s">
        <v>123</v>
      </c>
      <c r="Y217" s="95" t="s">
        <v>123</v>
      </c>
    </row>
    <row r="218" spans="1:26">
      <c r="A218" s="95">
        <v>1</v>
      </c>
      <c r="B218" s="95" t="str">
        <f>Singles!M95</f>
        <v>GHEM 64 63</v>
      </c>
      <c r="C218" s="99" t="str">
        <f>IF(OR(LEFT(B218,LEN(B$2))=B$2,LEFT(B218,LEN(C$2))=C$2,LEN(B218)&lt;2),"","Wrong pick")</f>
        <v/>
      </c>
      <c r="E218" s="95" t="str">
        <f ca="1">IF(AND(D200=1,J218=$I$2),G218&amp;", ","")&amp;IF(AND(D201=1,J219=$I$2),G219&amp;", ","")&amp;IF(AND(D202=1,J220=$I$2),G220&amp;", ","")&amp;IF(AND(D203=1,J221=$I$2),G221&amp;", ","")&amp;IF(AND(D204=1,J222=$I$2),G222&amp;", ","")&amp;IF(AND(D205=1,J223=$I$2),G223&amp;", ","")&amp;IF(AND(D206=1,J224=$I$2),G224&amp;", ","")&amp;IF(AND(D207=1,J225=$I$2),G225&amp;", ","")&amp;IF(AND(D208=1,J226=$I$2),G226&amp;", ","")&amp;IF(AND(D209=1,J227=$I$2),G227&amp;", ","")&amp;IF(AND(D210=1,J228=$I$2),G228&amp;", ","")&amp;IF(AND(D211=1,J229=$I$2),G229&amp;", ","")&amp;IF(AND(D212=1,J230=$I$2),G230&amp;", ","")&amp;IF(AND(D213=1,J231=$I$2),G231&amp;", ","")&amp;IF(AND(D214=1,J232=$I$2),G232&amp;", ","")&amp;IF(AND(D215=1,J233=$I$2),G233&amp;", ","")</f>
        <v xml:space="preserve">Duran, collinari, galdon, </v>
      </c>
      <c r="F218" s="95" t="str">
        <f>IF(AND(SUM(Z218:Z233)=$I$4,NOT(B217="Bye")),"Missing picks from "&amp;B217&amp;" ","")</f>
        <v/>
      </c>
      <c r="G218" s="95" t="str">
        <f>IF(B218=0,"",IF(LEFT(B218,LEN(B$2))=B$2,B$2,C$2))</f>
        <v>Ghem</v>
      </c>
      <c r="H218" s="95" t="str">
        <f t="shared" ref="H218:H233" si="127">IF(L218="","",IF(K218="PTS",IF(LEN(O218)&lt;8,"2-0","2-1"),LEFT(O218,1)&amp;"-"&amp;RIGHT(O218,1)))</f>
        <v>2-0</v>
      </c>
      <c r="J218" s="97">
        <f>Singles!H$3</f>
        <v>1</v>
      </c>
      <c r="K218" s="95" t="str">
        <f t="shared" ref="K218:K233" si="128">IF(LEN(L218)&gt;0,IF(LEN(O218)&lt;4,"SR","PTS"),"")</f>
        <v>PTS</v>
      </c>
      <c r="L218" s="95" t="str">
        <f t="shared" ref="L218:L233" si="129">TRIM(RIGHT(B218,LEN(B218)-LEN(G218)))</f>
        <v>64 63</v>
      </c>
      <c r="M218" s="95" t="str">
        <f t="shared" ref="M218:M233" si="130">SUBSTITUTE(L218,"-","")</f>
        <v>64 63</v>
      </c>
      <c r="N218" s="95" t="str">
        <f t="shared" ref="N218:N233" si="131">SUBSTITUTE(M218,","," ")</f>
        <v>64 63</v>
      </c>
      <c r="O218" s="95" t="str">
        <f t="shared" ref="O218:O233" si="132">IF(AND(LEN(TRIM(SUBSTITUTE(P218,"/","")))&gt;6,OR(LEFT(TRIM(SUBSTITUTE(P218,"/","")),2)="20",LEFT(TRIM(SUBSTITUTE(P218,"/","")),2)="21")),RIGHT(TRIM(SUBSTITUTE(P218,"/","")),LEN(TRIM(SUBSTITUTE(P218,"/","")))-3),TRIM(SUBSTITUTE(P218,"/","")))</f>
        <v>64 63</v>
      </c>
      <c r="P218" s="95" t="str">
        <f t="shared" ref="P218:P233" si="133">SUBSTITUTE(N218,":","")</f>
        <v>64 63</v>
      </c>
      <c r="Q218" s="95">
        <f>IF(AND(G218=T$2,LEN(G218)&gt;1),1,0)</f>
        <v>0</v>
      </c>
      <c r="R218" s="97">
        <f>Singles!D$3</f>
        <v>1</v>
      </c>
      <c r="S218" s="95">
        <f>IF(AND(H218=H$2,LEN(H218)&gt;1,Q218=1),1,0)</f>
        <v>0</v>
      </c>
      <c r="T218" s="95" t="str">
        <f t="shared" ref="T218:T233" si="134">IF(V200=V218,"No","Winner")</f>
        <v>No</v>
      </c>
      <c r="U218" s="95" t="str">
        <f>IF(T218="Winner",IF(V218&gt;V200,B217,B199),"")</f>
        <v/>
      </c>
      <c r="V218" s="97">
        <f>VLOOKUP(1,X218:Y233,2,0)</f>
        <v>1</v>
      </c>
      <c r="W218" s="95">
        <v>1</v>
      </c>
      <c r="X218" s="95">
        <f t="shared" ref="X218:X233" si="135">R218</f>
        <v>1</v>
      </c>
      <c r="Y218" s="95">
        <f t="shared" ref="Y218:Y233" si="136">IF(Q218=1,IF(S218=1,4,3),IF(H218="2-1",2,1))</f>
        <v>1</v>
      </c>
      <c r="Z218" s="95">
        <f t="shared" ref="Z218:Z233" si="137">IF(AND($I$2=J218,B218=0),1,0)</f>
        <v>0</v>
      </c>
    </row>
    <row r="219" spans="1:26">
      <c r="A219" s="95">
        <v>2</v>
      </c>
      <c r="B219" s="95" t="str">
        <f>Singles!M96</f>
        <v>MACHADO 63 62</v>
      </c>
      <c r="C219" s="100" t="str">
        <f>IF(OR(LEFT(B219,LEN(B$3))=B$3,LEFT(B219,LEN(C$3))=C$3,LEN(B219)&lt;2),"","Wrong pick")</f>
        <v/>
      </c>
      <c r="G219" s="95" t="str">
        <f>IF(B219=0,"",IF(LEFT(B219,LEN(B$3))=B$3,B$3,C$3))</f>
        <v>Machado</v>
      </c>
      <c r="H219" s="95" t="str">
        <f t="shared" si="127"/>
        <v>2-0</v>
      </c>
      <c r="J219" s="97">
        <f>Singles!H$4</f>
        <v>1</v>
      </c>
      <c r="K219" s="95" t="str">
        <f t="shared" si="128"/>
        <v>PTS</v>
      </c>
      <c r="L219" s="95" t="str">
        <f t="shared" si="129"/>
        <v>63 62</v>
      </c>
      <c r="M219" s="95" t="str">
        <f t="shared" si="130"/>
        <v>63 62</v>
      </c>
      <c r="N219" s="95" t="str">
        <f t="shared" si="131"/>
        <v>63 62</v>
      </c>
      <c r="O219" s="95" t="str">
        <f t="shared" si="132"/>
        <v>63 62</v>
      </c>
      <c r="P219" s="95" t="str">
        <f t="shared" si="133"/>
        <v>63 62</v>
      </c>
      <c r="Q219" s="95">
        <f>IF(AND(G219=T$3,LEN(G219)&gt;1),1,0)</f>
        <v>0</v>
      </c>
      <c r="R219" s="97">
        <f>Singles!D$4</f>
        <v>2</v>
      </c>
      <c r="S219" s="95">
        <f>IF(AND(H219=H$3,LEN(H219)&gt;1,Q219=1),1,0)</f>
        <v>0</v>
      </c>
      <c r="T219" s="95" t="str">
        <f t="shared" si="134"/>
        <v>No</v>
      </c>
      <c r="U219" s="95" t="str">
        <f>IF(T219="Winner",IF(V219&gt;V201,B217,B199),"")</f>
        <v/>
      </c>
      <c r="V219" s="97">
        <f>VLOOKUP(2,X218:Y233,2,0)</f>
        <v>1</v>
      </c>
      <c r="W219" s="95">
        <v>2</v>
      </c>
      <c r="X219" s="95">
        <f t="shared" si="135"/>
        <v>2</v>
      </c>
      <c r="Y219" s="95">
        <f t="shared" si="136"/>
        <v>1</v>
      </c>
      <c r="Z219" s="95">
        <f t="shared" si="137"/>
        <v>0</v>
      </c>
    </row>
    <row r="220" spans="1:26">
      <c r="A220" s="95">
        <v>3</v>
      </c>
      <c r="B220" s="95" t="str">
        <f>Singles!M97</f>
        <v>JUNQUEIRA 63 62</v>
      </c>
      <c r="C220" s="100" t="str">
        <f>IF(OR(LEFT(B220,LEN(B$4))=B$4,LEFT(B220,LEN(C$4))=C$4,LEN(B220)&lt;2),"","Wrong pick")</f>
        <v/>
      </c>
      <c r="G220" s="95" t="str">
        <f>IF(B220=0,"",IF(LEFT(B220,LEN(B$4))=B$4,B$4,C$4))</f>
        <v>Junqueira</v>
      </c>
      <c r="H220" s="95" t="str">
        <f t="shared" si="127"/>
        <v>2-0</v>
      </c>
      <c r="J220" s="97">
        <f>Singles!H$5</f>
        <v>1</v>
      </c>
      <c r="K220" s="95" t="str">
        <f t="shared" si="128"/>
        <v>PTS</v>
      </c>
      <c r="L220" s="95" t="str">
        <f t="shared" si="129"/>
        <v>63 62</v>
      </c>
      <c r="M220" s="95" t="str">
        <f t="shared" si="130"/>
        <v>63 62</v>
      </c>
      <c r="N220" s="95" t="str">
        <f t="shared" si="131"/>
        <v>63 62</v>
      </c>
      <c r="O220" s="95" t="str">
        <f t="shared" si="132"/>
        <v>63 62</v>
      </c>
      <c r="P220" s="95" t="str">
        <f t="shared" si="133"/>
        <v>63 62</v>
      </c>
      <c r="Q220" s="95">
        <f>IF(AND(G220=T$4,LEN(G220)&gt;1),1,0)</f>
        <v>0</v>
      </c>
      <c r="R220" s="97">
        <f>Singles!D$5</f>
        <v>3</v>
      </c>
      <c r="S220" s="95">
        <f>IF(AND(H220=H$4,LEN(H220)&gt;1,Q220=1),1,0)</f>
        <v>0</v>
      </c>
      <c r="T220" s="95" t="str">
        <f t="shared" si="134"/>
        <v>No</v>
      </c>
      <c r="U220" s="95" t="str">
        <f>IF(T220="Winner",IF(V220&gt;V202,B217,B199),"")</f>
        <v/>
      </c>
      <c r="V220" s="97">
        <f>VLOOKUP(3,X218:Y233,2,0)</f>
        <v>1</v>
      </c>
      <c r="W220" s="95">
        <v>3</v>
      </c>
      <c r="X220" s="95">
        <f t="shared" si="135"/>
        <v>3</v>
      </c>
      <c r="Y220" s="95">
        <f t="shared" si="136"/>
        <v>1</v>
      </c>
      <c r="Z220" s="95">
        <f t="shared" si="137"/>
        <v>0</v>
      </c>
    </row>
    <row r="221" spans="1:26">
      <c r="A221" s="95">
        <v>4</v>
      </c>
      <c r="B221" s="95" t="str">
        <f>Singles!M98</f>
        <v>LARANJA 63 62</v>
      </c>
      <c r="C221" s="100" t="str">
        <f>IF(OR(LEFT(B221,LEN(B$5))=B$5,LEFT(B221,LEN(C$5))=C$5,LEN(B221)&lt;2),"","Wrong pick")</f>
        <v/>
      </c>
      <c r="G221" s="95" t="str">
        <f>IF(B221=0,"",IF(LEFT(B221,LEN(B$5))=B$5,B$5,C$5))</f>
        <v>Laranja</v>
      </c>
      <c r="H221" s="95" t="str">
        <f t="shared" si="127"/>
        <v>2-0</v>
      </c>
      <c r="J221" s="97">
        <f>Singles!H$6</f>
        <v>1</v>
      </c>
      <c r="K221" s="95" t="str">
        <f t="shared" si="128"/>
        <v>PTS</v>
      </c>
      <c r="L221" s="95" t="str">
        <f t="shared" si="129"/>
        <v>63 62</v>
      </c>
      <c r="M221" s="95" t="str">
        <f t="shared" si="130"/>
        <v>63 62</v>
      </c>
      <c r="N221" s="95" t="str">
        <f t="shared" si="131"/>
        <v>63 62</v>
      </c>
      <c r="O221" s="95" t="str">
        <f t="shared" si="132"/>
        <v>63 62</v>
      </c>
      <c r="P221" s="95" t="str">
        <f t="shared" si="133"/>
        <v>63 62</v>
      </c>
      <c r="Q221" s="95">
        <f>IF(AND(G221=T$5,LEN(G221)&gt;1),1,0)</f>
        <v>0</v>
      </c>
      <c r="R221" s="97">
        <f>Singles!D$6</f>
        <v>4</v>
      </c>
      <c r="S221" s="95">
        <f>IF(AND(H221=H$5,LEN(H221)&gt;1,Q221=1),1,0)</f>
        <v>0</v>
      </c>
      <c r="T221" s="95" t="str">
        <f t="shared" si="134"/>
        <v>No</v>
      </c>
      <c r="U221" s="95" t="str">
        <f>IF(T221="Winner",IF(V221&gt;V203,B217,B199),"")</f>
        <v/>
      </c>
      <c r="V221" s="97">
        <f>VLOOKUP(4,X218:Y233,2,0)</f>
        <v>1</v>
      </c>
      <c r="W221" s="95">
        <v>4</v>
      </c>
      <c r="X221" s="95">
        <f t="shared" si="135"/>
        <v>4</v>
      </c>
      <c r="Y221" s="95">
        <f t="shared" si="136"/>
        <v>1</v>
      </c>
      <c r="Z221" s="95">
        <f t="shared" si="137"/>
        <v>0</v>
      </c>
    </row>
    <row r="222" spans="1:26">
      <c r="A222" s="95">
        <v>5</v>
      </c>
      <c r="B222" s="95" t="str">
        <f>Singles!M99</f>
        <v>PODLIPBIK-CASTILLO 63 62</v>
      </c>
      <c r="C222" s="100" t="str">
        <f>IF(OR(LEFT(B222,LEN(B$6))=B$6,LEFT(B222,LEN(C$6))=C$6,LEN(B222)&lt;2),"","Wrong pick")</f>
        <v/>
      </c>
      <c r="G222" s="95" t="str">
        <f>IF(B222=0,"",IF(LEFT(B222,LEN(B$6))=B$6,B$6,C$6))</f>
        <v>PODLIPBIK-CASTILLO</v>
      </c>
      <c r="H222" s="95" t="str">
        <f t="shared" si="127"/>
        <v>2-0</v>
      </c>
      <c r="J222" s="97">
        <f>Singles!H$7</f>
        <v>1</v>
      </c>
      <c r="K222" s="95" t="str">
        <f t="shared" si="128"/>
        <v>PTS</v>
      </c>
      <c r="L222" s="95" t="str">
        <f t="shared" si="129"/>
        <v>63 62</v>
      </c>
      <c r="M222" s="95" t="str">
        <f t="shared" si="130"/>
        <v>63 62</v>
      </c>
      <c r="N222" s="95" t="str">
        <f t="shared" si="131"/>
        <v>63 62</v>
      </c>
      <c r="O222" s="95" t="str">
        <f t="shared" si="132"/>
        <v>63 62</v>
      </c>
      <c r="P222" s="95" t="str">
        <f t="shared" si="133"/>
        <v>63 62</v>
      </c>
      <c r="Q222" s="95">
        <f>IF(AND(G222=T$6,LEN(G222)&gt;1),1,0)</f>
        <v>0</v>
      </c>
      <c r="R222" s="97">
        <f>Singles!D$7</f>
        <v>5</v>
      </c>
      <c r="S222" s="95">
        <f>IF(AND(H222=H$6,LEN(H222)&gt;1,Q222=1),1,0)</f>
        <v>0</v>
      </c>
      <c r="T222" s="95" t="str">
        <f t="shared" si="134"/>
        <v>No</v>
      </c>
      <c r="U222" s="95" t="str">
        <f>IF(T222="Winner",IF(V222&gt;V204,B217,B199),"")</f>
        <v/>
      </c>
      <c r="V222" s="97">
        <f>VLOOKUP(5,X218:Y233,2,0)</f>
        <v>1</v>
      </c>
      <c r="W222" s="95">
        <v>5</v>
      </c>
      <c r="X222" s="95">
        <f t="shared" si="135"/>
        <v>5</v>
      </c>
      <c r="Y222" s="95">
        <f t="shared" si="136"/>
        <v>1</v>
      </c>
      <c r="Z222" s="95">
        <f t="shared" si="137"/>
        <v>0</v>
      </c>
    </row>
    <row r="223" spans="1:26">
      <c r="A223" s="95">
        <v>6</v>
      </c>
      <c r="B223" s="95" t="str">
        <f>Singles!M100</f>
        <v>DURAN 63 62</v>
      </c>
      <c r="C223" s="100" t="str">
        <f>IF(OR(LEFT(B223,LEN(B$7))=B$7,LEFT(B223,LEN(C$7))=C$7,LEN(B223)&lt;2),"","Wrong pick")</f>
        <v/>
      </c>
      <c r="G223" s="95" t="str">
        <f>IF(B223=0,"",IF(LEFT(B223,LEN(B$7))=B$7,B$7,C$7))</f>
        <v>Duran</v>
      </c>
      <c r="H223" s="95" t="str">
        <f t="shared" si="127"/>
        <v>2-0</v>
      </c>
      <c r="J223" s="97">
        <f>Singles!H$8</f>
        <v>1</v>
      </c>
      <c r="K223" s="95" t="str">
        <f t="shared" si="128"/>
        <v>PTS</v>
      </c>
      <c r="L223" s="95" t="str">
        <f t="shared" si="129"/>
        <v>63 62</v>
      </c>
      <c r="M223" s="95" t="str">
        <f t="shared" si="130"/>
        <v>63 62</v>
      </c>
      <c r="N223" s="95" t="str">
        <f t="shared" si="131"/>
        <v>63 62</v>
      </c>
      <c r="O223" s="95" t="str">
        <f t="shared" si="132"/>
        <v>63 62</v>
      </c>
      <c r="P223" s="95" t="str">
        <f t="shared" si="133"/>
        <v>63 62</v>
      </c>
      <c r="Q223" s="95">
        <f>IF(AND(G223=T$7,LEN(G223)&gt;1),1,0)</f>
        <v>0</v>
      </c>
      <c r="R223" s="97">
        <f>Singles!D$8</f>
        <v>6</v>
      </c>
      <c r="S223" s="95">
        <f>IF(AND(H223=H$7,LEN(H223)&gt;1,Q223=1),1,0)</f>
        <v>0</v>
      </c>
      <c r="T223" s="95" t="str">
        <f t="shared" si="134"/>
        <v>No</v>
      </c>
      <c r="U223" s="95" t="str">
        <f>IF(T223="Winner",IF(V223&gt;V205,B217,B199),"")</f>
        <v/>
      </c>
      <c r="V223" s="97">
        <f>VLOOKUP(6,X218:Y233,2,0)</f>
        <v>1</v>
      </c>
      <c r="W223" s="95">
        <v>6</v>
      </c>
      <c r="X223" s="95">
        <f t="shared" si="135"/>
        <v>6</v>
      </c>
      <c r="Y223" s="95">
        <f t="shared" si="136"/>
        <v>1</v>
      </c>
      <c r="Z223" s="95">
        <f t="shared" si="137"/>
        <v>0</v>
      </c>
    </row>
    <row r="224" spans="1:26">
      <c r="A224" s="95">
        <v>7</v>
      </c>
      <c r="B224" s="95" t="str">
        <f>Singles!M101</f>
        <v>SORGI 63 62</v>
      </c>
      <c r="C224" s="100" t="str">
        <f>IF(OR(LEFT(B224,LEN(B$8))=B$8,LEFT(B224,LEN(C$8))=C$8,LEN(B224)&lt;2),"","Wrong pick")</f>
        <v/>
      </c>
      <c r="G224" s="95" t="str">
        <f>IF(B224=0,"",IF(LEFT(B224,LEN(B$8))=B$8,B$8,C$8))</f>
        <v>Sorgi</v>
      </c>
      <c r="H224" s="95" t="str">
        <f t="shared" si="127"/>
        <v>2-0</v>
      </c>
      <c r="J224" s="97">
        <f>Singles!H$9</f>
        <v>1</v>
      </c>
      <c r="K224" s="95" t="str">
        <f t="shared" si="128"/>
        <v>PTS</v>
      </c>
      <c r="L224" s="95" t="str">
        <f t="shared" si="129"/>
        <v>63 62</v>
      </c>
      <c r="M224" s="95" t="str">
        <f t="shared" si="130"/>
        <v>63 62</v>
      </c>
      <c r="N224" s="95" t="str">
        <f t="shared" si="131"/>
        <v>63 62</v>
      </c>
      <c r="O224" s="95" t="str">
        <f t="shared" si="132"/>
        <v>63 62</v>
      </c>
      <c r="P224" s="95" t="str">
        <f t="shared" si="133"/>
        <v>63 62</v>
      </c>
      <c r="Q224" s="95">
        <f>IF(AND(G224=T$8,LEN(G224)&gt;1),1,0)</f>
        <v>0</v>
      </c>
      <c r="R224" s="97">
        <f>Singles!D$9</f>
        <v>7</v>
      </c>
      <c r="S224" s="95">
        <f>IF(AND(H224=H$8,LEN(H224)&gt;1,Q224=1),1,0)</f>
        <v>0</v>
      </c>
      <c r="T224" s="95" t="str">
        <f t="shared" si="134"/>
        <v>No</v>
      </c>
      <c r="U224" s="95" t="str">
        <f>IF(T224="Winner",IF(V224&gt;V206,B217,B199),"")</f>
        <v/>
      </c>
      <c r="V224" s="97">
        <f>VLOOKUP(7,X218:Y233,2,0)</f>
        <v>1</v>
      </c>
      <c r="W224" s="95">
        <v>7</v>
      </c>
      <c r="X224" s="95">
        <f t="shared" si="135"/>
        <v>7</v>
      </c>
      <c r="Y224" s="95">
        <f t="shared" si="136"/>
        <v>1</v>
      </c>
      <c r="Z224" s="95">
        <f t="shared" si="137"/>
        <v>0</v>
      </c>
    </row>
    <row r="225" spans="1:26">
      <c r="A225" s="95">
        <v>8</v>
      </c>
      <c r="B225" s="95" t="str">
        <f>Singles!M102</f>
        <v>GONZALEZ 63 62</v>
      </c>
      <c r="C225" s="100" t="str">
        <f>IF(OR(LEFT(B225,LEN(B$9))=B$9,LEFT(B225,LEN(C$9))=C$9,LEN(B225)&lt;2),"","Wrong pick")</f>
        <v/>
      </c>
      <c r="G225" s="95" t="str">
        <f>IF(B225=0,"",IF(LEFT(B225,LEN(B$9))=B$9,B$9,C$9))</f>
        <v>gonzalez</v>
      </c>
      <c r="H225" s="95" t="str">
        <f t="shared" si="127"/>
        <v>2-0</v>
      </c>
      <c r="J225" s="97">
        <f>Singles!H$10</f>
        <v>1</v>
      </c>
      <c r="K225" s="95" t="str">
        <f t="shared" si="128"/>
        <v>PTS</v>
      </c>
      <c r="L225" s="95" t="str">
        <f t="shared" si="129"/>
        <v>63 62</v>
      </c>
      <c r="M225" s="95" t="str">
        <f t="shared" si="130"/>
        <v>63 62</v>
      </c>
      <c r="N225" s="95" t="str">
        <f t="shared" si="131"/>
        <v>63 62</v>
      </c>
      <c r="O225" s="95" t="str">
        <f t="shared" si="132"/>
        <v>63 62</v>
      </c>
      <c r="P225" s="95" t="str">
        <f t="shared" si="133"/>
        <v>63 62</v>
      </c>
      <c r="Q225" s="95">
        <f>IF(AND(G225=T$9,LEN(G225)&gt;1),1,0)</f>
        <v>0</v>
      </c>
      <c r="R225" s="97">
        <f>Singles!D$10</f>
        <v>8</v>
      </c>
      <c r="S225" s="95">
        <f>IF(AND(H225=H$9,LEN(H225)&gt;1,Q225=1),1,0)</f>
        <v>0</v>
      </c>
      <c r="T225" s="95" t="str">
        <f t="shared" si="134"/>
        <v>No</v>
      </c>
      <c r="U225" s="95" t="str">
        <f>IF(T225="Winner",IF(V225&gt;V207,B217,B199),"")</f>
        <v/>
      </c>
      <c r="V225" s="97">
        <f>VLOOKUP(8,X218:Y233,2,0)</f>
        <v>1</v>
      </c>
      <c r="W225" s="95">
        <v>8</v>
      </c>
      <c r="X225" s="95">
        <f t="shared" si="135"/>
        <v>8</v>
      </c>
      <c r="Y225" s="95">
        <f t="shared" si="136"/>
        <v>1</v>
      </c>
      <c r="Z225" s="95">
        <f t="shared" si="137"/>
        <v>0</v>
      </c>
    </row>
    <row r="226" spans="1:26">
      <c r="A226" s="95">
        <v>9</v>
      </c>
      <c r="B226" s="95" t="str">
        <f>Singles!M103</f>
        <v>PEREIRA 63 62</v>
      </c>
      <c r="C226" s="100" t="str">
        <f>IF(OR(LEFT(B226,LEN(B$10))=B$10,LEFT(B226,LEN(C$10))=C$10,LEN(B226)&lt;2),"","Wrong pick")</f>
        <v/>
      </c>
      <c r="G226" s="95" t="str">
        <f>IF(B226=0,"",IF(LEFT(B226,LEN(B$10))=B$10,B$10,C$10))</f>
        <v>pereira</v>
      </c>
      <c r="H226" s="95" t="str">
        <f t="shared" si="127"/>
        <v>2-0</v>
      </c>
      <c r="J226" s="97">
        <f>Singles!H$11</f>
        <v>1</v>
      </c>
      <c r="K226" s="95" t="str">
        <f t="shared" si="128"/>
        <v>PTS</v>
      </c>
      <c r="L226" s="95" t="str">
        <f t="shared" si="129"/>
        <v>63 62</v>
      </c>
      <c r="M226" s="95" t="str">
        <f t="shared" si="130"/>
        <v>63 62</v>
      </c>
      <c r="N226" s="95" t="str">
        <f t="shared" si="131"/>
        <v>63 62</v>
      </c>
      <c r="O226" s="95" t="str">
        <f t="shared" si="132"/>
        <v>63 62</v>
      </c>
      <c r="P226" s="95" t="str">
        <f t="shared" si="133"/>
        <v>63 62</v>
      </c>
      <c r="Q226" s="95">
        <f>IF(AND(G226=T$10,LEN(G226)&gt;1),1,0)</f>
        <v>0</v>
      </c>
      <c r="R226" s="97">
        <f>Singles!D$11</f>
        <v>9</v>
      </c>
      <c r="S226" s="95">
        <f>IF(AND(H226=H$10,LEN(H226)&gt;1,Q226=1),1,0)</f>
        <v>0</v>
      </c>
      <c r="T226" s="95" t="str">
        <f t="shared" si="134"/>
        <v>No</v>
      </c>
      <c r="U226" s="95" t="str">
        <f>IF(T226="Winner",IF(V226&gt;V208,B217,B199),"")</f>
        <v/>
      </c>
      <c r="V226" s="97">
        <f>VLOOKUP(9,X218:Y233,2,0)</f>
        <v>1</v>
      </c>
      <c r="W226" s="95">
        <v>9</v>
      </c>
      <c r="X226" s="95">
        <f t="shared" si="135"/>
        <v>9</v>
      </c>
      <c r="Y226" s="95">
        <f t="shared" si="136"/>
        <v>1</v>
      </c>
      <c r="Z226" s="95">
        <f t="shared" si="137"/>
        <v>0</v>
      </c>
    </row>
    <row r="227" spans="1:26">
      <c r="A227" s="95">
        <v>10</v>
      </c>
      <c r="B227" s="95" t="str">
        <f>Singles!M104</f>
        <v>COLLINARI 63 62</v>
      </c>
      <c r="C227" s="100" t="str">
        <f>IF(OR(LEFT(B227,LEN(B$11))=B$11,LEFT(B227,LEN(C$11))=C$11,LEN(B227)&lt;2),"","Wrong pick")</f>
        <v/>
      </c>
      <c r="G227" s="95" t="str">
        <f>IF(B227=0,"",IF(LEFT(B227,LEN(B$11))=B$11,B$11,C$11))</f>
        <v>collinari</v>
      </c>
      <c r="H227" s="95" t="str">
        <f t="shared" si="127"/>
        <v>2-0</v>
      </c>
      <c r="J227" s="97">
        <f>Singles!H$12</f>
        <v>1</v>
      </c>
      <c r="K227" s="95" t="str">
        <f t="shared" si="128"/>
        <v>PTS</v>
      </c>
      <c r="L227" s="95" t="str">
        <f t="shared" si="129"/>
        <v>63 62</v>
      </c>
      <c r="M227" s="95" t="str">
        <f t="shared" si="130"/>
        <v>63 62</v>
      </c>
      <c r="N227" s="95" t="str">
        <f t="shared" si="131"/>
        <v>63 62</v>
      </c>
      <c r="O227" s="95" t="str">
        <f t="shared" si="132"/>
        <v>63 62</v>
      </c>
      <c r="P227" s="95" t="str">
        <f t="shared" si="133"/>
        <v>63 62</v>
      </c>
      <c r="Q227" s="95">
        <f>IF(AND(G227=T$11,LEN(G227)&gt;1),1,0)</f>
        <v>0</v>
      </c>
      <c r="R227" s="97">
        <f>Singles!D$12</f>
        <v>10</v>
      </c>
      <c r="S227" s="95">
        <f>IF(AND(H227=H$11,LEN(H227)&gt;1,Q227=1),1,0)</f>
        <v>0</v>
      </c>
      <c r="T227" s="95" t="str">
        <f t="shared" si="134"/>
        <v>No</v>
      </c>
      <c r="U227" s="95" t="str">
        <f>IF(T227="Winner",IF(V227&gt;V209,B217,B199),"")</f>
        <v/>
      </c>
      <c r="V227" s="97">
        <f>VLOOKUP(10,X218:Y233,2,0)</f>
        <v>1</v>
      </c>
      <c r="W227" s="95">
        <v>10</v>
      </c>
      <c r="X227" s="95">
        <f t="shared" si="135"/>
        <v>10</v>
      </c>
      <c r="Y227" s="95">
        <f t="shared" si="136"/>
        <v>1</v>
      </c>
      <c r="Z227" s="95">
        <f t="shared" si="137"/>
        <v>0</v>
      </c>
    </row>
    <row r="228" spans="1:26">
      <c r="A228" s="95">
        <v>11</v>
      </c>
      <c r="B228" s="95" t="str">
        <f>Singles!M105</f>
        <v>GINER 63 62</v>
      </c>
      <c r="C228" s="100" t="str">
        <f>IF(OR(LEFT(B228,LEN(B$12))=B$12,LEFT(B228,LEN(C$12))=C$12,LEN(B228)&lt;2),"","Wrong pick")</f>
        <v/>
      </c>
      <c r="G228" s="95" t="str">
        <f>IF(B228=0,"",IF(LEFT(B228,LEN(B$12))=B$12,B$12,C$12))</f>
        <v>giner</v>
      </c>
      <c r="H228" s="95" t="str">
        <f t="shared" si="127"/>
        <v>2-0</v>
      </c>
      <c r="J228" s="97">
        <f>Singles!H$13</f>
        <v>1</v>
      </c>
      <c r="K228" s="95" t="str">
        <f t="shared" si="128"/>
        <v>PTS</v>
      </c>
      <c r="L228" s="95" t="str">
        <f t="shared" si="129"/>
        <v>63 62</v>
      </c>
      <c r="M228" s="95" t="str">
        <f t="shared" si="130"/>
        <v>63 62</v>
      </c>
      <c r="N228" s="95" t="str">
        <f t="shared" si="131"/>
        <v>63 62</v>
      </c>
      <c r="O228" s="95" t="str">
        <f t="shared" si="132"/>
        <v>63 62</v>
      </c>
      <c r="P228" s="95" t="str">
        <f t="shared" si="133"/>
        <v>63 62</v>
      </c>
      <c r="Q228" s="95">
        <f>IF(AND(G228=T$12,LEN(G228)&gt;1),1,0)</f>
        <v>0</v>
      </c>
      <c r="R228" s="97">
        <f>Singles!D$13</f>
        <v>11</v>
      </c>
      <c r="S228" s="95">
        <f>IF(AND(H228=H$12,LEN(H228)&gt;1,Q228=1),1,0)</f>
        <v>0</v>
      </c>
      <c r="T228" s="95" t="str">
        <f t="shared" si="134"/>
        <v>No</v>
      </c>
      <c r="U228" s="95" t="str">
        <f>IF(T228="Winner",IF(V228&gt;V210,B217,B199),"")</f>
        <v/>
      </c>
      <c r="V228" s="97">
        <f>VLOOKUP(11,X218:Y233,2,0)</f>
        <v>1</v>
      </c>
      <c r="W228" s="95">
        <v>11</v>
      </c>
      <c r="X228" s="95">
        <f t="shared" si="135"/>
        <v>11</v>
      </c>
      <c r="Y228" s="95">
        <f t="shared" si="136"/>
        <v>1</v>
      </c>
      <c r="Z228" s="95">
        <f t="shared" si="137"/>
        <v>0</v>
      </c>
    </row>
    <row r="229" spans="1:26">
      <c r="A229" s="95">
        <v>12</v>
      </c>
      <c r="B229" s="95" t="str">
        <f>Singles!M106</f>
        <v>GALDON 63 62</v>
      </c>
      <c r="C229" s="100" t="str">
        <f>IF(OR(LEFT(B229,LEN(B$13))=B$13,LEFT(B229,LEN(C$13))=C$13,LEN(B229)&lt;2),"","Wrong pick")</f>
        <v/>
      </c>
      <c r="G229" s="95" t="str">
        <f>IF(B229=0,"",IF(LEFT(B229,LEN(B$13))=B$13,B$13,C$13))</f>
        <v>galdon</v>
      </c>
      <c r="H229" s="95" t="str">
        <f t="shared" si="127"/>
        <v>2-0</v>
      </c>
      <c r="J229" s="97">
        <f>Singles!H$14</f>
        <v>1</v>
      </c>
      <c r="K229" s="95" t="str">
        <f t="shared" si="128"/>
        <v>PTS</v>
      </c>
      <c r="L229" s="95" t="str">
        <f t="shared" si="129"/>
        <v>63 62</v>
      </c>
      <c r="M229" s="95" t="str">
        <f t="shared" si="130"/>
        <v>63 62</v>
      </c>
      <c r="N229" s="95" t="str">
        <f t="shared" si="131"/>
        <v>63 62</v>
      </c>
      <c r="O229" s="95" t="str">
        <f t="shared" si="132"/>
        <v>63 62</v>
      </c>
      <c r="P229" s="95" t="str">
        <f t="shared" si="133"/>
        <v>63 62</v>
      </c>
      <c r="Q229" s="95">
        <f>IF(AND(G229=T$13,LEN(G229)&gt;1),1,0)</f>
        <v>0</v>
      </c>
      <c r="R229" s="97">
        <f>Singles!D$14</f>
        <v>12</v>
      </c>
      <c r="S229" s="95">
        <f>IF(AND(H229=H$13,LEN(H229)&gt;1,Q229=1),1,0)</f>
        <v>0</v>
      </c>
      <c r="T229" s="95" t="str">
        <f t="shared" si="134"/>
        <v>No</v>
      </c>
      <c r="U229" s="95" t="str">
        <f>IF(T229="Winner",IF(V229&gt;V211,B217,B199),"")</f>
        <v/>
      </c>
      <c r="V229" s="97">
        <f>VLOOKUP(12,X218:Y233,2,0)</f>
        <v>1</v>
      </c>
      <c r="W229" s="95">
        <v>12</v>
      </c>
      <c r="X229" s="95">
        <f t="shared" si="135"/>
        <v>12</v>
      </c>
      <c r="Y229" s="95">
        <f t="shared" si="136"/>
        <v>1</v>
      </c>
      <c r="Z229" s="95">
        <f t="shared" si="137"/>
        <v>0</v>
      </c>
    </row>
    <row r="230" spans="1:26">
      <c r="A230" s="95">
        <v>13</v>
      </c>
      <c r="B230" s="95" t="str">
        <f>Singles!M107</f>
        <v>LOBKOV 63 62</v>
      </c>
      <c r="C230" s="100" t="str">
        <f>IF(OR(LEFT(B230,LEN(B$14))=B$14,LEFT(B230,LEN(C$14))=C$14,LEN(B230)&lt;2),"","Wrong pick")</f>
        <v/>
      </c>
      <c r="G230" s="95" t="str">
        <f>IF(B230=0,"",IF(LEFT(B230,LEN(B$14))=B$14,B$14,C$14))</f>
        <v>lobkov</v>
      </c>
      <c r="H230" s="95" t="str">
        <f t="shared" si="127"/>
        <v>2-0</v>
      </c>
      <c r="J230" s="97">
        <f>Singles!H$15</f>
        <v>1</v>
      </c>
      <c r="K230" s="95" t="str">
        <f t="shared" si="128"/>
        <v>PTS</v>
      </c>
      <c r="L230" s="95" t="str">
        <f t="shared" si="129"/>
        <v>63 62</v>
      </c>
      <c r="M230" s="95" t="str">
        <f t="shared" si="130"/>
        <v>63 62</v>
      </c>
      <c r="N230" s="95" t="str">
        <f t="shared" si="131"/>
        <v>63 62</v>
      </c>
      <c r="O230" s="95" t="str">
        <f t="shared" si="132"/>
        <v>63 62</v>
      </c>
      <c r="P230" s="95" t="str">
        <f t="shared" si="133"/>
        <v>63 62</v>
      </c>
      <c r="Q230" s="95">
        <f>IF(AND(G230=T$14,LEN(G230)&gt;1),1,0)</f>
        <v>0</v>
      </c>
      <c r="R230" s="97">
        <f>Singles!D$15</f>
        <v>13</v>
      </c>
      <c r="S230" s="95">
        <f>IF(AND(H230=H$14,LEN(H230)&gt;1,Q230=1),1,0)</f>
        <v>0</v>
      </c>
      <c r="T230" s="95" t="str">
        <f t="shared" si="134"/>
        <v>No</v>
      </c>
      <c r="U230" s="95" t="str">
        <f>IF(T230="Winner",IF(V230&gt;V212,B217,B199),"")</f>
        <v/>
      </c>
      <c r="V230" s="97">
        <f>VLOOKUP(13,X218:Y233,2,0)</f>
        <v>1</v>
      </c>
      <c r="W230" s="95">
        <v>13</v>
      </c>
      <c r="X230" s="95">
        <f t="shared" si="135"/>
        <v>13</v>
      </c>
      <c r="Y230" s="95">
        <f t="shared" si="136"/>
        <v>1</v>
      </c>
      <c r="Z230" s="95">
        <f t="shared" si="137"/>
        <v>0</v>
      </c>
    </row>
    <row r="231" spans="1:26">
      <c r="A231" s="95">
        <v>14</v>
      </c>
      <c r="B231" s="95" t="str">
        <f>Singles!M108</f>
        <v>SANTOS 63 62</v>
      </c>
      <c r="C231" s="100" t="str">
        <f>IF(OR(LEFT(B231,LEN(B$15))=B$15,LEFT(B231,LEN(C$15))=C$15,LEN(B231)&lt;2),"","Wrong pick")</f>
        <v/>
      </c>
      <c r="G231" s="95" t="str">
        <f>IF(B231=0,"",IF(LEFT(B231,LEN(B$15))=B$15,B$15,C$15))</f>
        <v>santos</v>
      </c>
      <c r="H231" s="95" t="str">
        <f t="shared" si="127"/>
        <v>2-0</v>
      </c>
      <c r="J231" s="97">
        <f>Singles!H$16</f>
        <v>1</v>
      </c>
      <c r="K231" s="95" t="str">
        <f t="shared" si="128"/>
        <v>PTS</v>
      </c>
      <c r="L231" s="95" t="str">
        <f t="shared" si="129"/>
        <v>63 62</v>
      </c>
      <c r="M231" s="95" t="str">
        <f t="shared" si="130"/>
        <v>63 62</v>
      </c>
      <c r="N231" s="95" t="str">
        <f t="shared" si="131"/>
        <v>63 62</v>
      </c>
      <c r="O231" s="95" t="str">
        <f t="shared" si="132"/>
        <v>63 62</v>
      </c>
      <c r="P231" s="95" t="str">
        <f t="shared" si="133"/>
        <v>63 62</v>
      </c>
      <c r="Q231" s="95">
        <f>IF(AND(G231=T$15,LEN(G231)&gt;1),1,0)</f>
        <v>0</v>
      </c>
      <c r="R231" s="97">
        <f>Singles!D$16</f>
        <v>14</v>
      </c>
      <c r="S231" s="95">
        <f>IF(AND(H231=H$15,LEN(H231)&gt;1,Q231=1),1,0)</f>
        <v>0</v>
      </c>
      <c r="T231" s="95" t="str">
        <f t="shared" si="134"/>
        <v>No</v>
      </c>
      <c r="U231" s="95" t="str">
        <f>IF(T231="Winner",IF(V231&gt;V213,B217,B199),"")</f>
        <v/>
      </c>
      <c r="V231" s="97">
        <f>VLOOKUP(14,X218:Y233,2,0)</f>
        <v>1</v>
      </c>
      <c r="W231" s="95">
        <v>14</v>
      </c>
      <c r="X231" s="95">
        <f t="shared" si="135"/>
        <v>14</v>
      </c>
      <c r="Y231" s="95">
        <f t="shared" si="136"/>
        <v>1</v>
      </c>
      <c r="Z231" s="95">
        <f t="shared" si="137"/>
        <v>0</v>
      </c>
    </row>
    <row r="232" spans="1:26">
      <c r="A232" s="95">
        <v>15</v>
      </c>
      <c r="B232" s="95" t="str">
        <f>Singles!M109</f>
        <v>SANTOS 63 62</v>
      </c>
      <c r="C232" s="100" t="str">
        <f>IF(OR(LEFT(B232,LEN(B$16))=B$16,LEFT(B232,LEN(C$16))=C$16,LEN(B232)&lt;2),"","Wrong pick")</f>
        <v/>
      </c>
      <c r="G232" s="95" t="str">
        <f>IF(B232=0,"",IF(LEFT(B232,LEN(B$16))=B$16,B$16,C$16))</f>
        <v>santos</v>
      </c>
      <c r="H232" s="95" t="str">
        <f t="shared" si="127"/>
        <v>2-0</v>
      </c>
      <c r="J232" s="97">
        <f>Singles!H$17</f>
        <v>1</v>
      </c>
      <c r="K232" s="95" t="str">
        <f t="shared" si="128"/>
        <v>PTS</v>
      </c>
      <c r="L232" s="95" t="str">
        <f t="shared" si="129"/>
        <v>63 62</v>
      </c>
      <c r="M232" s="95" t="str">
        <f t="shared" si="130"/>
        <v>63 62</v>
      </c>
      <c r="N232" s="95" t="str">
        <f t="shared" si="131"/>
        <v>63 62</v>
      </c>
      <c r="O232" s="95" t="str">
        <f t="shared" si="132"/>
        <v>63 62</v>
      </c>
      <c r="P232" s="95" t="str">
        <f t="shared" si="133"/>
        <v>63 62</v>
      </c>
      <c r="Q232" s="95">
        <f>IF(AND(G232=T$16,LEN(G232)&gt;1),1,0)</f>
        <v>0</v>
      </c>
      <c r="R232" s="97">
        <f>Singles!D$17</f>
        <v>15</v>
      </c>
      <c r="S232" s="95">
        <f>IF(AND(H232=H$16,LEN(H232)&gt;1,Q232=1),1,0)</f>
        <v>0</v>
      </c>
      <c r="T232" s="95" t="str">
        <f t="shared" si="134"/>
        <v>No</v>
      </c>
      <c r="U232" s="95" t="str">
        <f>IF(T232="Winner",IF(V232&gt;V214,B217,B199),"")</f>
        <v/>
      </c>
      <c r="V232" s="97">
        <f>VLOOKUP(15,X218:Y233,2,0)</f>
        <v>1</v>
      </c>
      <c r="W232" s="95">
        <v>15</v>
      </c>
      <c r="X232" s="95">
        <f t="shared" si="135"/>
        <v>15</v>
      </c>
      <c r="Y232" s="95">
        <f t="shared" si="136"/>
        <v>1</v>
      </c>
      <c r="Z232" s="95">
        <f t="shared" si="137"/>
        <v>0</v>
      </c>
    </row>
    <row r="233" spans="1:26">
      <c r="A233" s="95">
        <v>16</v>
      </c>
      <c r="B233" s="95" t="str">
        <f>Singles!M110</f>
        <v>LOJDA 63 62</v>
      </c>
      <c r="C233" s="100" t="str">
        <f>IF(OR(LEFT(B233,LEN(B$17))=B$17,LEFT(B233,LEN(C$17))=C$17,LEN(B233)&lt;2),"","Wrong pick")</f>
        <v/>
      </c>
      <c r="G233" s="95" t="str">
        <f>IF(B233=0,"",IF(LEFT(B233,LEN(B$17))=B$17,B$17,C$17))</f>
        <v>lojda</v>
      </c>
      <c r="H233" s="95" t="str">
        <f t="shared" si="127"/>
        <v>2-0</v>
      </c>
      <c r="J233" s="97">
        <f>Singles!H$18</f>
        <v>1</v>
      </c>
      <c r="K233" s="95" t="str">
        <f t="shared" si="128"/>
        <v>PTS</v>
      </c>
      <c r="L233" s="95" t="str">
        <f t="shared" si="129"/>
        <v>63 62</v>
      </c>
      <c r="M233" s="95" t="str">
        <f t="shared" si="130"/>
        <v>63 62</v>
      </c>
      <c r="N233" s="95" t="str">
        <f t="shared" si="131"/>
        <v>63 62</v>
      </c>
      <c r="O233" s="95" t="str">
        <f t="shared" si="132"/>
        <v>63 62</v>
      </c>
      <c r="P233" s="95" t="str">
        <f t="shared" si="133"/>
        <v>63 62</v>
      </c>
      <c r="Q233" s="95">
        <f>IF(AND(G233=T$17,LEN(G233)&gt;1),1,0)</f>
        <v>0</v>
      </c>
      <c r="R233" s="97">
        <f>Singles!D$18</f>
        <v>16</v>
      </c>
      <c r="S233" s="95">
        <f>IF(AND(H233=H$17,LEN(H233)&gt;1,Q233=1),1,0)</f>
        <v>0</v>
      </c>
      <c r="T233" s="95" t="str">
        <f t="shared" si="134"/>
        <v>No</v>
      </c>
      <c r="U233" s="95" t="str">
        <f>IF(T233="Winner",IF(V233&gt;V215,B217,B199),"")</f>
        <v/>
      </c>
      <c r="V233" s="97">
        <f>VLOOKUP(16,X218:Y233,2,0)</f>
        <v>1</v>
      </c>
      <c r="W233" s="95">
        <v>16</v>
      </c>
      <c r="X233" s="95">
        <f t="shared" si="135"/>
        <v>16</v>
      </c>
      <c r="Y233" s="95">
        <f t="shared" si="136"/>
        <v>1</v>
      </c>
      <c r="Z233" s="95">
        <f t="shared" si="137"/>
        <v>0</v>
      </c>
    </row>
    <row r="234" spans="1:26">
      <c r="T234" s="95" t="s">
        <v>89</v>
      </c>
      <c r="U234" s="95" t="s">
        <v>125</v>
      </c>
      <c r="W234" s="95">
        <v>17</v>
      </c>
    </row>
    <row r="235" spans="1:26">
      <c r="A235" s="95" t="str">
        <f>IF(LEN(VLOOKUP(B235,Singles!$A$2:$B$33,2,0))&gt;0,VLOOKUP(B235,Singles!$A$2:$B$33,2,0),"")</f>
        <v>ALT</v>
      </c>
      <c r="B235" s="96" t="str">
        <f>Singles!N94</f>
        <v>Southend Aussies</v>
      </c>
      <c r="C235" s="96">
        <v>13</v>
      </c>
      <c r="D235" s="95" t="str">
        <f>VLOOKUP(B235,Singles!$A$2:$C$33,3,0)</f>
        <v>AUS</v>
      </c>
      <c r="J235" s="95" t="s">
        <v>88</v>
      </c>
      <c r="Q235" s="95" t="s">
        <v>121</v>
      </c>
      <c r="S235" s="95" t="s">
        <v>122</v>
      </c>
      <c r="T235" s="95" t="str">
        <f>IF(LEN(A235)&gt;0,"("&amp;A235&amp;") "&amp;B235,B235)&amp;IF(LEN(D235)&gt;1," ("&amp;D235&amp;")","")</f>
        <v>(ALT) Southend Aussies (AUS)</v>
      </c>
      <c r="V235" s="95" t="s">
        <v>123</v>
      </c>
      <c r="Y235" s="95" t="s">
        <v>123</v>
      </c>
    </row>
    <row r="236" spans="1:26">
      <c r="A236" s="95">
        <v>1</v>
      </c>
      <c r="B236" s="95" t="str">
        <f>Singles!N95</f>
        <v>TRAVAGLIA 7-5 4-6 6-2</v>
      </c>
      <c r="C236" s="99" t="str">
        <f>IF(OR(LEFT(B236,LEN(B$2))=B$2,LEFT(B236,LEN(C$2))=C$2,LEN(B236)&lt;2),"","Wrong pick")</f>
        <v/>
      </c>
      <c r="D236" s="95">
        <f t="shared" ref="D236:D251" ca="1" si="138">IF(OR(G236=G254,INDIRECT(ADDRESS(A236+1,6,1))&gt;0),0,1)</f>
        <v>0</v>
      </c>
      <c r="E236" s="95" t="str">
        <f ca="1">IF(AND(D236=1,J236=$I$2),G236&amp;", ","")&amp;IF(AND(D237=1,J237=$I$2),G237&amp;", ","")&amp;IF(AND(D238=1,J238=$I$2),G238&amp;", ","")&amp;IF(AND(D239=1,J239=$I$2),G239&amp;", ","")&amp;IF(AND(D240=1,J240=$I$2),G240&amp;", ","")&amp;IF(AND(D241=1,J241=$I$2),G241&amp;", ","")&amp;IF(AND(D242=1,J242=$I$2),G242&amp;", ","")&amp;IF(AND(D243=1,J243=$I$2),G243&amp;", ","")&amp;IF(AND(D244=1,J244=$I$2),G244&amp;", ","")&amp;IF(AND(D245=1,J245=$I$2),G245&amp;", ","")&amp;IF(AND(D246=1,J246=$I$2),G246&amp;", ","")&amp;IF(AND(D247=1,J247=$I$2),G247&amp;", ","")&amp;IF(AND(D248=1,J248=$I$2),G248&amp;", ","")&amp;IF(AND(D249=1,J249=$I$2),G249&amp;", ","")&amp;IF(AND(D250=1,J250=$I$2),G250&amp;", ","")&amp;IF(AND(D251=1,J251=$I$2),G251&amp;", ","")</f>
        <v xml:space="preserve">Gaio, collinari, santos, </v>
      </c>
      <c r="F236" s="95" t="str">
        <f>IF(AND(SUM(Z236:Z251)=$I$4,NOT(B235="Bye")),"Missing picks from "&amp;B235&amp;" ","")</f>
        <v/>
      </c>
      <c r="G236" s="95" t="str">
        <f>IF(B236=0,"",IF(LEFT(B236,LEN(B$2))=B$2,B$2,C$2))</f>
        <v>Travaglia</v>
      </c>
      <c r="H236" s="95" t="str">
        <f t="shared" ref="H236:H251" si="139">IF(L236="","",IF(K236="PTS",IF(LEN(O236)&lt;8,"2-0","2-1"),LEFT(O236,1)&amp;"-"&amp;RIGHT(O236,1)))</f>
        <v>2-1</v>
      </c>
      <c r="I236" s="95" t="str">
        <f ca="1">IF(AND(J236=Singles!$H$21,INDIRECT(ADDRESS(A236+1,6,1))=0,NOT(INDIRECT(ADDRESS(A236+1,5,1))="")),IF(D236=0,IF(H236=H254,"",G236&amp;" "&amp;H236&amp;" v "&amp;H254&amp;", "),G236&amp;" "&amp;H236&amp;" vs. "&amp;G254&amp;" "&amp;H254&amp;", "),"")</f>
        <v/>
      </c>
      <c r="J236" s="97">
        <f>Singles!H$3</f>
        <v>1</v>
      </c>
      <c r="K236" s="95" t="str">
        <f t="shared" ref="K236:K251" si="140">IF(LEN(L236)&gt;0,IF(LEN(O236)&lt;4,"SR","PTS"),"")</f>
        <v>PTS</v>
      </c>
      <c r="L236" s="95" t="str">
        <f t="shared" ref="L236:L251" si="141">TRIM(RIGHT(B236,LEN(B236)-LEN(G236)))</f>
        <v>7-5 4-6 6-2</v>
      </c>
      <c r="M236" s="95" t="str">
        <f t="shared" ref="M236:M251" si="142">SUBSTITUTE(L236,"-","")</f>
        <v>75 46 62</v>
      </c>
      <c r="N236" s="95" t="str">
        <f t="shared" ref="N236:N251" si="143">SUBSTITUTE(M236,","," ")</f>
        <v>75 46 62</v>
      </c>
      <c r="O236" s="95" t="str">
        <f t="shared" ref="O236:O251" si="144">IF(AND(LEN(TRIM(SUBSTITUTE(P236,"/","")))&gt;6,OR(LEFT(TRIM(SUBSTITUTE(P236,"/","")),2)="20",LEFT(TRIM(SUBSTITUTE(P236,"/","")),2)="21")),RIGHT(TRIM(SUBSTITUTE(P236,"/","")),LEN(TRIM(SUBSTITUTE(P236,"/","")))-3),TRIM(SUBSTITUTE(P236,"/","")))</f>
        <v>75 46 62</v>
      </c>
      <c r="P236" s="95" t="str">
        <f t="shared" ref="P236:P251" si="145">SUBSTITUTE(N236,":","")</f>
        <v>75 46 62</v>
      </c>
      <c r="Q236" s="95">
        <f>IF(AND(G236=T$2,LEN(G236)&gt;1),1,0)</f>
        <v>0</v>
      </c>
      <c r="R236" s="97">
        <f>Singles!D$3</f>
        <v>1</v>
      </c>
      <c r="S236" s="95">
        <f>IF(AND(H236=H$2,LEN(H236)&gt;1,Q236=1),1,0)</f>
        <v>0</v>
      </c>
      <c r="T236" s="95" t="str">
        <f ca="1">" SR Differences: "&amp;IF(LEN(I236&amp;I237&amp;I238&amp;I239&amp;I240&amp;I241&amp;I242&amp;I243&amp;I244&amp;I245&amp;I246&amp;I247&amp;I248&amp;I249&amp;I250&amp;I251)&lt;3,"None..",I236&amp;I237&amp;I238&amp;I239&amp;I240&amp;I241&amp;I242&amp;I243&amp;I244&amp;I245&amp;I246&amp;I247&amp;I248&amp;I249&amp;I250&amp;I251)</f>
        <v xml:space="preserve"> SR Differences: Gaio 2-1 vs. Laranja 2-1, Duran 2-0 v 2-1, Michon 2-1 v 2-0, collinari 2-0 vs. matos 2-0, santos 2-1 vs. Fligia 2-0, </v>
      </c>
      <c r="V236" s="97">
        <f>VLOOKUP(1,X236:Y251,2,0)</f>
        <v>2</v>
      </c>
      <c r="X236" s="95">
        <f t="shared" ref="X236:X251" si="146">R236</f>
        <v>1</v>
      </c>
      <c r="Y236" s="95">
        <f t="shared" ref="Y236:Y251" si="147">IF(Q236=1,IF(S236=1,4,3),IF(H236="2-1",2,1))</f>
        <v>2</v>
      </c>
      <c r="Z236" s="95">
        <f t="shared" ref="Z236:Z251" si="148">IF(AND($I$2=J236,B236=0),1,0)</f>
        <v>0</v>
      </c>
    </row>
    <row r="237" spans="1:26">
      <c r="A237" s="95">
        <v>2</v>
      </c>
      <c r="B237" s="95" t="str">
        <f>Singles!N96</f>
        <v>MACHADO 6-3 6-1</v>
      </c>
      <c r="C237" s="100" t="str">
        <f>IF(OR(LEFT(B237,LEN(B$3))=B$3,LEFT(B237,LEN(C$3))=C$3,LEN(B237)&lt;2),"","Wrong pick")</f>
        <v/>
      </c>
      <c r="D237" s="95">
        <f t="shared" ca="1" si="138"/>
        <v>0</v>
      </c>
      <c r="G237" s="95" t="str">
        <f>IF(B237=0,"",IF(LEFT(B237,LEN(B$3))=B$3,B$3,C$3))</f>
        <v>Machado</v>
      </c>
      <c r="H237" s="95" t="str">
        <f t="shared" si="139"/>
        <v>2-0</v>
      </c>
      <c r="I237" s="95" t="str">
        <f ca="1">IF(AND(J237=Singles!$H$21,INDIRECT(ADDRESS(A237+1,6,1))=0,NOT(INDIRECT(ADDRESS(A237+1,5,1))="")),IF(D237=0,IF(H237=H255,"",G237&amp;" "&amp;H237&amp;" v "&amp;H255&amp;", "),G237&amp;" "&amp;H237&amp;" vs. "&amp;G255&amp;" "&amp;H255&amp;", "),"")</f>
        <v/>
      </c>
      <c r="J237" s="97">
        <f>Singles!H$4</f>
        <v>1</v>
      </c>
      <c r="K237" s="95" t="str">
        <f t="shared" si="140"/>
        <v>PTS</v>
      </c>
      <c r="L237" s="95" t="str">
        <f t="shared" si="141"/>
        <v>6-3 6-1</v>
      </c>
      <c r="M237" s="95" t="str">
        <f t="shared" si="142"/>
        <v>63 61</v>
      </c>
      <c r="N237" s="95" t="str">
        <f t="shared" si="143"/>
        <v>63 61</v>
      </c>
      <c r="O237" s="95" t="str">
        <f t="shared" si="144"/>
        <v>63 61</v>
      </c>
      <c r="P237" s="95" t="str">
        <f t="shared" si="145"/>
        <v>63 61</v>
      </c>
      <c r="Q237" s="95">
        <f>IF(AND(G237=T$3,LEN(G237)&gt;1),1,0)</f>
        <v>0</v>
      </c>
      <c r="R237" s="97">
        <f>Singles!D$4</f>
        <v>2</v>
      </c>
      <c r="S237" s="95">
        <f>IF(AND(H237=H$3,LEN(H237)&gt;1,Q237=1),1,0)</f>
        <v>0</v>
      </c>
      <c r="T237" s="95" t="str">
        <f ca="1">IF(T238&gt;0,LEFT(E236,LEN(E236)-2)&amp;" vs. "&amp;LEFT(E254,LEN(E254)-2),IF(SUMIF(Singles!$H$3:$H$18,"="&amp;Singles!$H$21,Singles!$I$3:$I$18)=0,"Same winners;",""))</f>
        <v>Gaio, collinari, santos vs. Laranja, matos, Fligia</v>
      </c>
      <c r="V237" s="97">
        <f>VLOOKUP(2,X236:Y251,2,0)</f>
        <v>1</v>
      </c>
      <c r="X237" s="95">
        <f t="shared" si="146"/>
        <v>2</v>
      </c>
      <c r="Y237" s="95">
        <f t="shared" si="147"/>
        <v>1</v>
      </c>
      <c r="Z237" s="95">
        <f t="shared" si="148"/>
        <v>0</v>
      </c>
    </row>
    <row r="238" spans="1:26">
      <c r="A238" s="95">
        <v>3</v>
      </c>
      <c r="B238" s="95" t="str">
        <f>Singles!N97</f>
        <v>JUNQUEIRA 6-4 7-5</v>
      </c>
      <c r="C238" s="100" t="str">
        <f>IF(OR(LEFT(B238,LEN(B$4))=B$4,LEFT(B238,LEN(C$4))=C$4,LEN(B238)&lt;2),"","Wrong pick")</f>
        <v/>
      </c>
      <c r="D238" s="95">
        <f t="shared" ca="1" si="138"/>
        <v>0</v>
      </c>
      <c r="G238" s="95" t="str">
        <f>IF(B238=0,"",IF(LEFT(B238,LEN(B$4))=B$4,B$4,C$4))</f>
        <v>Junqueira</v>
      </c>
      <c r="H238" s="95" t="str">
        <f t="shared" si="139"/>
        <v>2-0</v>
      </c>
      <c r="I238" s="95" t="str">
        <f ca="1">IF(AND(J238=Singles!$H$21,INDIRECT(ADDRESS(A238+1,6,1))=0,NOT(INDIRECT(ADDRESS(A238+1,5,1))="")),IF(D238=0,IF(H238=H256,"",G238&amp;" "&amp;H238&amp;" v "&amp;H256&amp;", "),G238&amp;" "&amp;H238&amp;" vs. "&amp;G256&amp;" "&amp;H256&amp;", "),"")</f>
        <v/>
      </c>
      <c r="J238" s="97">
        <f>Singles!H$5</f>
        <v>1</v>
      </c>
      <c r="K238" s="95" t="str">
        <f t="shared" si="140"/>
        <v>PTS</v>
      </c>
      <c r="L238" s="95" t="str">
        <f t="shared" si="141"/>
        <v>6-4 7-5</v>
      </c>
      <c r="M238" s="95" t="str">
        <f t="shared" si="142"/>
        <v>64 75</v>
      </c>
      <c r="N238" s="95" t="str">
        <f t="shared" si="143"/>
        <v>64 75</v>
      </c>
      <c r="O238" s="95" t="str">
        <f t="shared" si="144"/>
        <v>64 75</v>
      </c>
      <c r="P238" s="95" t="str">
        <f t="shared" si="145"/>
        <v>64 75</v>
      </c>
      <c r="Q238" s="95">
        <f>IF(AND(G238=T$4,LEN(G238)&gt;1),1,0)</f>
        <v>0</v>
      </c>
      <c r="R238" s="97">
        <f>Singles!D$5</f>
        <v>3</v>
      </c>
      <c r="S238" s="95">
        <f>IF(AND(H238=H$4,LEN(H238)&gt;1,Q238=1),1,0)</f>
        <v>0</v>
      </c>
      <c r="T238" s="101">
        <f ca="1">SUMIF(J236:J251,$I$2,D236:D251)</f>
        <v>3</v>
      </c>
      <c r="V238" s="97">
        <f>VLOOKUP(3,X236:Y251,2,0)</f>
        <v>1</v>
      </c>
      <c r="X238" s="95">
        <f t="shared" si="146"/>
        <v>3</v>
      </c>
      <c r="Y238" s="95">
        <f t="shared" si="147"/>
        <v>1</v>
      </c>
      <c r="Z238" s="95">
        <f t="shared" si="148"/>
        <v>0</v>
      </c>
    </row>
    <row r="239" spans="1:26">
      <c r="A239" s="95">
        <v>4</v>
      </c>
      <c r="B239" s="95" t="str">
        <f>Singles!N98</f>
        <v>GAIO 6-4 4-6 7-5</v>
      </c>
      <c r="C239" s="100" t="str">
        <f>IF(OR(LEFT(B239,LEN(B$5))=B$5,LEFT(B239,LEN(C$5))=C$5,LEN(B239)&lt;2),"","Wrong pick")</f>
        <v/>
      </c>
      <c r="D239" s="95">
        <f t="shared" ca="1" si="138"/>
        <v>1</v>
      </c>
      <c r="G239" s="95" t="str">
        <f>IF(B239=0,"",IF(LEFT(B239,LEN(B$5))=B$5,B$5,C$5))</f>
        <v>Gaio</v>
      </c>
      <c r="H239" s="95" t="str">
        <f t="shared" si="139"/>
        <v>2-1</v>
      </c>
      <c r="I239" s="95" t="str">
        <f ca="1">IF(AND(J239=Singles!$H$21,INDIRECT(ADDRESS(A239+1,6,1))=0,NOT(INDIRECT(ADDRESS(A239+1,5,1))="")),IF(D239=0,IF(H239=H257,"",G239&amp;" "&amp;H239&amp;" v "&amp;H257&amp;", "),G239&amp;" "&amp;H239&amp;" vs. "&amp;G257&amp;" "&amp;H257&amp;", "),"")</f>
        <v xml:space="preserve">Gaio 2-1 vs. Laranja 2-1, </v>
      </c>
      <c r="J239" s="97">
        <f>Singles!H$6</f>
        <v>1</v>
      </c>
      <c r="K239" s="95" t="str">
        <f t="shared" si="140"/>
        <v>PTS</v>
      </c>
      <c r="L239" s="95" t="str">
        <f t="shared" si="141"/>
        <v>6-4 4-6 7-5</v>
      </c>
      <c r="M239" s="95" t="str">
        <f t="shared" si="142"/>
        <v>64 46 75</v>
      </c>
      <c r="N239" s="95" t="str">
        <f t="shared" si="143"/>
        <v>64 46 75</v>
      </c>
      <c r="O239" s="95" t="str">
        <f t="shared" si="144"/>
        <v>64 46 75</v>
      </c>
      <c r="P239" s="95" t="str">
        <f t="shared" si="145"/>
        <v>64 46 75</v>
      </c>
      <c r="Q239" s="95">
        <f>IF(AND(G239=T$5,LEN(G239)&gt;1),1,0)</f>
        <v>0</v>
      </c>
      <c r="R239" s="97">
        <f>Singles!D$6</f>
        <v>4</v>
      </c>
      <c r="S239" s="95">
        <f>IF(AND(H239=H$5,LEN(H239)&gt;1,Q239=1),1,0)</f>
        <v>0</v>
      </c>
      <c r="T239" s="102" t="str">
        <f ca="1">IF(T241&lt;10,"0","")&amp;T241&amp;":"&amp;IF(T242&lt;10,"0","")&amp;T242&amp;" | [b]"&amp;IF(LEN(U239)&gt;0,U239,T235&amp;"[/b] vs. [b]"&amp;T253&amp;"[/b]"&amp;IF(Singles!$H$21&gt;1," (SR "&amp;U241&amp;":"&amp;U242&amp;")","")&amp;" - "&amp;IF(COUNTIF(C236:C269,"=Wrong Pick")&gt;0,"Incorrect pick, probably a spelling mistake",IF(AND(F236="",F254=""),T237&amp;IF(AND(OR(AND(Singles!$H$20&gt;1,Singles!$H$21&lt;Singles!$H$20),MOD(T238+T241+T242,2)=0),NOT(Singles!$H$23="No")),LEFT(T236,LEN(T236)-2),""),F236&amp;F254)))</f>
        <v>00:00 | [b](ALT) Southend Aussies (AUS)[/b] vs. [b]Walter Hitzschky (BRA)[/b] - Gaio, collinari, santos vs. Laranja, matos, Fligia</v>
      </c>
      <c r="U239" s="95" t="str">
        <f>IF(B235="Bye","Bye[/b] vs. [b][color=blue]"&amp;T253&amp;"[/color][/b]",IF(B253="Bye","[color=blue]"&amp;T235&amp;"[/color][/b] vs. [b]Bye[/b]",""))</f>
        <v/>
      </c>
      <c r="V239" s="97">
        <f>VLOOKUP(4,X236:Y251,2,0)</f>
        <v>2</v>
      </c>
      <c r="X239" s="95">
        <f t="shared" si="146"/>
        <v>4</v>
      </c>
      <c r="Y239" s="95">
        <f t="shared" si="147"/>
        <v>2</v>
      </c>
      <c r="Z239" s="95">
        <f t="shared" si="148"/>
        <v>0</v>
      </c>
    </row>
    <row r="240" spans="1:26">
      <c r="A240" s="95">
        <v>5</v>
      </c>
      <c r="B240" s="95" t="str">
        <f>Singles!N99</f>
        <v>PODLIPBIK-CASTILLO 6-2 6-4</v>
      </c>
      <c r="C240" s="100" t="str">
        <f>IF(OR(LEFT(B240,LEN(B$6))=B$6,LEFT(B240,LEN(C$6))=C$6,LEN(B240)&lt;2),"","Wrong pick")</f>
        <v/>
      </c>
      <c r="D240" s="95">
        <f t="shared" ca="1" si="138"/>
        <v>0</v>
      </c>
      <c r="G240" s="95" t="str">
        <f>IF(B240=0,"",IF(LEFT(B240,LEN(B$6))=B$6,B$6,C$6))</f>
        <v>PODLIPBIK-CASTILLO</v>
      </c>
      <c r="H240" s="95" t="str">
        <f t="shared" si="139"/>
        <v>2-0</v>
      </c>
      <c r="I240" s="95" t="str">
        <f ca="1">IF(AND(J240=Singles!$H$21,INDIRECT(ADDRESS(A240+1,6,1))=0,NOT(INDIRECT(ADDRESS(A240+1,5,1))="")),IF(D240=0,IF(H240=H258,"",G240&amp;" "&amp;H240&amp;" v "&amp;H258&amp;", "),G240&amp;" "&amp;H240&amp;" vs. "&amp;G258&amp;" "&amp;H258&amp;", "),"")</f>
        <v/>
      </c>
      <c r="J240" s="97">
        <f>Singles!H$7</f>
        <v>1</v>
      </c>
      <c r="K240" s="95" t="str">
        <f t="shared" si="140"/>
        <v>PTS</v>
      </c>
      <c r="L240" s="95" t="str">
        <f t="shared" si="141"/>
        <v>6-2 6-4</v>
      </c>
      <c r="M240" s="95" t="str">
        <f t="shared" si="142"/>
        <v>62 64</v>
      </c>
      <c r="N240" s="95" t="str">
        <f t="shared" si="143"/>
        <v>62 64</v>
      </c>
      <c r="O240" s="95" t="str">
        <f t="shared" si="144"/>
        <v>62 64</v>
      </c>
      <c r="P240" s="95" t="str">
        <f t="shared" si="145"/>
        <v>62 64</v>
      </c>
      <c r="Q240" s="95">
        <f>IF(AND(G240=T$6,LEN(G240)&gt;1),1,0)</f>
        <v>0</v>
      </c>
      <c r="R240" s="97">
        <f>Singles!D$7</f>
        <v>5</v>
      </c>
      <c r="S240" s="95">
        <f>IF(AND(H240=H$6,LEN(H240)&gt;1,Q240=1),1,0)</f>
        <v>0</v>
      </c>
      <c r="T240" s="103" t="str">
        <f>IF(Singles!$H$22=$F$18,IF(T241&gt;T242,B235,IF(T241&lt;T242,B253,IF(U241&gt;U242,B235,IF(U241&lt;U242,B253,T244)))),"No decision yet")</f>
        <v>No decision yet</v>
      </c>
      <c r="U240" s="104" t="str">
        <f>IF(T241&lt;10,"0","")&amp;T241&amp;":"&amp;IF(T242&lt;10,"0","")&amp;T242&amp;" | "&amp;IF(AND(A235&gt;0,A235&lt;33,B235=T240),"[b][color=Blue]"&amp;T235&amp;"[/color][/b]",IF(B235=T240,"[color=Blue]"&amp;T235&amp;"[/color]",IF(AND(A235&gt;0,A235&lt;33),"[b]"&amp;T235&amp;"[/b]",T235)))&amp;" vs. "&amp;IF(AND(A253&gt;0,A253&lt;33,B253=T240),"[b][color=Blue]"&amp;T253&amp;"[/color][/b]",IF(B253=T240,"[color=Blue]"&amp;T253&amp;"[/color]",IF(AND(A253&gt;0,A253&lt;33),"[b]"&amp;T253&amp;"[/b]",T253)))&amp;IF(OR(Singles!$B$40="yes",T241=T242)," #SRs: "&amp;U241&amp;"-"&amp;U242,"")&amp;IF(AND(T241=T242,U241=U242,U244&lt;17,Singles!$H$22=$F$18),", Shootout: SR"&amp;U244,"")</f>
        <v>00:00 | (ALT) Southend Aussies (AUS) vs. Walter Hitzschky (BRA) #SRs: 0-0</v>
      </c>
      <c r="V240" s="97">
        <f>VLOOKUP(5,X236:Y251,2,0)</f>
        <v>1</v>
      </c>
      <c r="X240" s="95">
        <f t="shared" si="146"/>
        <v>5</v>
      </c>
      <c r="Y240" s="95">
        <f t="shared" si="147"/>
        <v>1</v>
      </c>
      <c r="Z240" s="95">
        <f t="shared" si="148"/>
        <v>0</v>
      </c>
    </row>
    <row r="241" spans="1:26">
      <c r="A241" s="95">
        <v>6</v>
      </c>
      <c r="B241" s="95" t="str">
        <f>Singles!N100</f>
        <v>DURAN 7-5 6-4</v>
      </c>
      <c r="C241" s="100" t="str">
        <f>IF(OR(LEFT(B241,LEN(B$7))=B$7,LEFT(B241,LEN(C$7))=C$7,LEN(B241)&lt;2),"","Wrong pick")</f>
        <v/>
      </c>
      <c r="D241" s="95">
        <f t="shared" ca="1" si="138"/>
        <v>0</v>
      </c>
      <c r="G241" s="95" t="str">
        <f>IF(B241=0,"",IF(LEFT(B241,LEN(B$7))=B$7,B$7,C$7))</f>
        <v>Duran</v>
      </c>
      <c r="H241" s="95" t="str">
        <f t="shared" si="139"/>
        <v>2-0</v>
      </c>
      <c r="I241" s="95" t="str">
        <f ca="1">IF(AND(J241=Singles!$H$21,INDIRECT(ADDRESS(A241+1,6,1))=0,NOT(INDIRECT(ADDRESS(A241+1,5,1))="")),IF(D241=0,IF(H241=H259,"",G241&amp;" "&amp;H241&amp;" v "&amp;H259&amp;", "),G241&amp;" "&amp;H241&amp;" vs. "&amp;G259&amp;" "&amp;H259&amp;", "),"")</f>
        <v xml:space="preserve">Duran 2-0 v 2-1, </v>
      </c>
      <c r="J241" s="97">
        <f>Singles!H$8</f>
        <v>1</v>
      </c>
      <c r="K241" s="95" t="str">
        <f t="shared" si="140"/>
        <v>PTS</v>
      </c>
      <c r="L241" s="95" t="str">
        <f t="shared" si="141"/>
        <v>7-5 6-4</v>
      </c>
      <c r="M241" s="95" t="str">
        <f t="shared" si="142"/>
        <v>75 64</v>
      </c>
      <c r="N241" s="95" t="str">
        <f t="shared" si="143"/>
        <v>75 64</v>
      </c>
      <c r="O241" s="95" t="str">
        <f t="shared" si="144"/>
        <v>75 64</v>
      </c>
      <c r="P241" s="95" t="str">
        <f t="shared" si="145"/>
        <v>75 64</v>
      </c>
      <c r="Q241" s="95">
        <f>IF(AND(G241=T$7,LEN(G241)&gt;1),1,0)</f>
        <v>0</v>
      </c>
      <c r="R241" s="97">
        <f>Singles!D$8</f>
        <v>6</v>
      </c>
      <c r="S241" s="95">
        <f>IF(AND(H241=H$7,LEN(H241)&gt;1,Q241=1),1,0)</f>
        <v>0</v>
      </c>
      <c r="T241" s="105">
        <f>SUM(Q236:Q251)</f>
        <v>0</v>
      </c>
      <c r="U241" s="97">
        <f>SUM(S236:S251)</f>
        <v>0</v>
      </c>
      <c r="V241" s="97">
        <f>VLOOKUP(6,X236:Y251,2,0)</f>
        <v>1</v>
      </c>
      <c r="X241" s="95">
        <f t="shared" si="146"/>
        <v>6</v>
      </c>
      <c r="Y241" s="95">
        <f t="shared" si="147"/>
        <v>1</v>
      </c>
      <c r="Z241" s="95">
        <f t="shared" si="148"/>
        <v>0</v>
      </c>
    </row>
    <row r="242" spans="1:26">
      <c r="A242" s="95">
        <v>7</v>
      </c>
      <c r="B242" s="95" t="str">
        <f>Singles!N101</f>
        <v>MICHON 4-6 6-4 7-5</v>
      </c>
      <c r="C242" s="100" t="str">
        <f>IF(OR(LEFT(B242,LEN(B$8))=B$8,LEFT(B242,LEN(C$8))=C$8,LEN(B242)&lt;2),"","Wrong pick")</f>
        <v/>
      </c>
      <c r="D242" s="95">
        <f t="shared" ca="1" si="138"/>
        <v>0</v>
      </c>
      <c r="G242" s="95" t="str">
        <f>IF(B242=0,"",IF(LEFT(B242,LEN(B$8))=B$8,B$8,C$8))</f>
        <v>Michon</v>
      </c>
      <c r="H242" s="95" t="str">
        <f t="shared" si="139"/>
        <v>2-1</v>
      </c>
      <c r="I242" s="95" t="str">
        <f ca="1">IF(AND(J242=Singles!$H$21,INDIRECT(ADDRESS(A242+1,6,1))=0,NOT(INDIRECT(ADDRESS(A242+1,5,1))="")),IF(D242=0,IF(H242=H260,"",G242&amp;" "&amp;H242&amp;" v "&amp;H260&amp;", "),G242&amp;" "&amp;H242&amp;" vs. "&amp;G260&amp;" "&amp;H260&amp;", "),"")</f>
        <v xml:space="preserve">Michon 2-1 v 2-0, </v>
      </c>
      <c r="J242" s="97">
        <f>Singles!H$9</f>
        <v>1</v>
      </c>
      <c r="K242" s="95" t="str">
        <f t="shared" si="140"/>
        <v>PTS</v>
      </c>
      <c r="L242" s="95" t="str">
        <f t="shared" si="141"/>
        <v>4-6 6-4 7-5</v>
      </c>
      <c r="M242" s="95" t="str">
        <f t="shared" si="142"/>
        <v>46 64 75</v>
      </c>
      <c r="N242" s="95" t="str">
        <f t="shared" si="143"/>
        <v>46 64 75</v>
      </c>
      <c r="O242" s="95" t="str">
        <f t="shared" si="144"/>
        <v>46 64 75</v>
      </c>
      <c r="P242" s="95" t="str">
        <f t="shared" si="145"/>
        <v>46 64 75</v>
      </c>
      <c r="Q242" s="95">
        <f>IF(AND(G242=T$8,LEN(G242)&gt;1),1,0)</f>
        <v>0</v>
      </c>
      <c r="R242" s="97">
        <f>Singles!D$9</f>
        <v>7</v>
      </c>
      <c r="S242" s="95">
        <f>IF(AND(H242=H$8,LEN(H242)&gt;1,Q242=1),1,0)</f>
        <v>0</v>
      </c>
      <c r="T242" s="105">
        <f>SUM(Q254:Q269)</f>
        <v>0</v>
      </c>
      <c r="U242" s="97">
        <f>SUM(S254:S269)</f>
        <v>0</v>
      </c>
      <c r="V242" s="97">
        <f>VLOOKUP(7,X236:Y251,2,0)</f>
        <v>2</v>
      </c>
      <c r="X242" s="95">
        <f t="shared" si="146"/>
        <v>7</v>
      </c>
      <c r="Y242" s="95">
        <f t="shared" si="147"/>
        <v>2</v>
      </c>
      <c r="Z242" s="95">
        <f t="shared" si="148"/>
        <v>0</v>
      </c>
    </row>
    <row r="243" spans="1:26">
      <c r="A243" s="95">
        <v>8</v>
      </c>
      <c r="B243" s="95" t="str">
        <f>Singles!N102</f>
        <v>GONZALEZ 6-4 6-3</v>
      </c>
      <c r="C243" s="100" t="str">
        <f>IF(OR(LEFT(B243,LEN(B$9))=B$9,LEFT(B243,LEN(C$9))=C$9,LEN(B243)&lt;2),"","Wrong pick")</f>
        <v/>
      </c>
      <c r="D243" s="95">
        <f t="shared" ca="1" si="138"/>
        <v>0</v>
      </c>
      <c r="G243" s="95" t="str">
        <f>IF(B243=0,"",IF(LEFT(B243,LEN(B$9))=B$9,B$9,C$9))</f>
        <v>gonzalez</v>
      </c>
      <c r="H243" s="95" t="str">
        <f t="shared" si="139"/>
        <v>2-0</v>
      </c>
      <c r="I243" s="95" t="str">
        <f ca="1">IF(AND(J243=Singles!$H$21,INDIRECT(ADDRESS(A243+1,6,1))=0,NOT(INDIRECT(ADDRESS(A243+1,5,1))="")),IF(D243=0,IF(H243=H261,"",G243&amp;" "&amp;H243&amp;" v "&amp;H261&amp;", "),G243&amp;" "&amp;H243&amp;" vs. "&amp;G261&amp;" "&amp;H261&amp;", "),"")</f>
        <v/>
      </c>
      <c r="J243" s="97">
        <f>Singles!H$10</f>
        <v>1</v>
      </c>
      <c r="K243" s="95" t="str">
        <f t="shared" si="140"/>
        <v>PTS</v>
      </c>
      <c r="L243" s="95" t="str">
        <f t="shared" si="141"/>
        <v>6-4 6-3</v>
      </c>
      <c r="M243" s="95" t="str">
        <f t="shared" si="142"/>
        <v>64 63</v>
      </c>
      <c r="N243" s="95" t="str">
        <f t="shared" si="143"/>
        <v>64 63</v>
      </c>
      <c r="O243" s="95" t="str">
        <f t="shared" si="144"/>
        <v>64 63</v>
      </c>
      <c r="P243" s="95" t="str">
        <f t="shared" si="145"/>
        <v>64 63</v>
      </c>
      <c r="Q243" s="95">
        <f>IF(AND(G243=T$9,LEN(G243)&gt;1),1,0)</f>
        <v>0</v>
      </c>
      <c r="R243" s="97">
        <f>Singles!D$10</f>
        <v>8</v>
      </c>
      <c r="S243" s="95">
        <f>IF(AND(H243=H$9,LEN(H243)&gt;1,Q243=1),1,0)</f>
        <v>0</v>
      </c>
      <c r="V243" s="97">
        <f>VLOOKUP(8,X236:Y251,2,0)</f>
        <v>1</v>
      </c>
      <c r="X243" s="95">
        <f t="shared" si="146"/>
        <v>8</v>
      </c>
      <c r="Y243" s="95">
        <f t="shared" si="147"/>
        <v>1</v>
      </c>
      <c r="Z243" s="95">
        <f t="shared" si="148"/>
        <v>0</v>
      </c>
    </row>
    <row r="244" spans="1:26">
      <c r="A244" s="95">
        <v>9</v>
      </c>
      <c r="B244" s="95" t="str">
        <f>Singles!N103</f>
        <v>PEREIRA 6-4 6-1</v>
      </c>
      <c r="C244" s="100" t="str">
        <f>IF(OR(LEFT(B244,LEN(B$10))=B$10,LEFT(B244,LEN(C$10))=C$10,LEN(B244)&lt;2),"","Wrong pick")</f>
        <v/>
      </c>
      <c r="D244" s="95">
        <f t="shared" ca="1" si="138"/>
        <v>0</v>
      </c>
      <c r="G244" s="95" t="str">
        <f>IF(B244=0,"",IF(LEFT(B244,LEN(B$10))=B$10,B$10,C$10))</f>
        <v>pereira</v>
      </c>
      <c r="H244" s="95" t="str">
        <f t="shared" si="139"/>
        <v>2-0</v>
      </c>
      <c r="I244" s="95" t="str">
        <f ca="1">IF(AND(J244=Singles!$H$21,INDIRECT(ADDRESS(A244+1,6,1))=0,NOT(INDIRECT(ADDRESS(A244+1,5,1))="")),IF(D244=0,IF(H244=H262,"",G244&amp;" "&amp;H244&amp;" v "&amp;H262&amp;", "),G244&amp;" "&amp;H244&amp;" vs. "&amp;G262&amp;" "&amp;H262&amp;", "),"")</f>
        <v/>
      </c>
      <c r="J244" s="97">
        <f>Singles!H$11</f>
        <v>1</v>
      </c>
      <c r="K244" s="95" t="str">
        <f t="shared" si="140"/>
        <v>PTS</v>
      </c>
      <c r="L244" s="95" t="str">
        <f t="shared" si="141"/>
        <v>6-4 6-1</v>
      </c>
      <c r="M244" s="95" t="str">
        <f t="shared" si="142"/>
        <v>64 61</v>
      </c>
      <c r="N244" s="95" t="str">
        <f t="shared" si="143"/>
        <v>64 61</v>
      </c>
      <c r="O244" s="95" t="str">
        <f t="shared" si="144"/>
        <v>64 61</v>
      </c>
      <c r="P244" s="95" t="str">
        <f t="shared" si="145"/>
        <v>64 61</v>
      </c>
      <c r="Q244" s="95">
        <f>IF(AND(G244=T$10,LEN(G244)&gt;1),1,0)</f>
        <v>0</v>
      </c>
      <c r="R244" s="97">
        <f>Singles!D$11</f>
        <v>9</v>
      </c>
      <c r="S244" s="95">
        <f>IF(AND(H244=H$10,LEN(H244)&gt;1,Q244=1),1,0)</f>
        <v>0</v>
      </c>
      <c r="T244" s="95" t="str">
        <f>VLOOKUP("Winner",T254:U270,2,0)</f>
        <v>Walter Hitzschky</v>
      </c>
      <c r="U244" s="95">
        <f>VLOOKUP(T244,U254:W270,3,0)</f>
        <v>6</v>
      </c>
      <c r="V244" s="97">
        <f>VLOOKUP(9,X236:Y251,2,0)</f>
        <v>1</v>
      </c>
      <c r="X244" s="95">
        <f t="shared" si="146"/>
        <v>9</v>
      </c>
      <c r="Y244" s="95">
        <f t="shared" si="147"/>
        <v>1</v>
      </c>
      <c r="Z244" s="95">
        <f t="shared" si="148"/>
        <v>0</v>
      </c>
    </row>
    <row r="245" spans="1:26">
      <c r="A245" s="95">
        <v>10</v>
      </c>
      <c r="B245" s="95" t="str">
        <f>Singles!N104</f>
        <v>COLLINARI 6-3 6-4</v>
      </c>
      <c r="C245" s="100" t="str">
        <f>IF(OR(LEFT(B245,LEN(B$11))=B$11,LEFT(B245,LEN(C$11))=C$11,LEN(B245)&lt;2),"","Wrong pick")</f>
        <v/>
      </c>
      <c r="D245" s="95">
        <f t="shared" ca="1" si="138"/>
        <v>1</v>
      </c>
      <c r="G245" s="95" t="str">
        <f>IF(B245=0,"",IF(LEFT(B245,LEN(B$11))=B$11,B$11,C$11))</f>
        <v>collinari</v>
      </c>
      <c r="H245" s="95" t="str">
        <f t="shared" si="139"/>
        <v>2-0</v>
      </c>
      <c r="I245" s="95" t="str">
        <f ca="1">IF(AND(J245=Singles!$H$21,INDIRECT(ADDRESS(A245+1,6,1))=0,NOT(INDIRECT(ADDRESS(A245+1,5,1))="")),IF(D245=0,IF(H245=H263,"",G245&amp;" "&amp;H245&amp;" v "&amp;H263&amp;", "),G245&amp;" "&amp;H245&amp;" vs. "&amp;G263&amp;" "&amp;H263&amp;", "),"")</f>
        <v xml:space="preserve">collinari 2-0 vs. matos 2-0, </v>
      </c>
      <c r="J245" s="97">
        <f>Singles!H$12</f>
        <v>1</v>
      </c>
      <c r="K245" s="95" t="str">
        <f t="shared" si="140"/>
        <v>PTS</v>
      </c>
      <c r="L245" s="95" t="str">
        <f t="shared" si="141"/>
        <v>6-3 6-4</v>
      </c>
      <c r="M245" s="95" t="str">
        <f t="shared" si="142"/>
        <v>63 64</v>
      </c>
      <c r="N245" s="95" t="str">
        <f t="shared" si="143"/>
        <v>63 64</v>
      </c>
      <c r="O245" s="95" t="str">
        <f t="shared" si="144"/>
        <v>63 64</v>
      </c>
      <c r="P245" s="95" t="str">
        <f t="shared" si="145"/>
        <v>63 64</v>
      </c>
      <c r="Q245" s="95">
        <f>IF(AND(G245=T$11,LEN(G245)&gt;1),1,0)</f>
        <v>0</v>
      </c>
      <c r="R245" s="97">
        <f>Singles!D$12</f>
        <v>10</v>
      </c>
      <c r="S245" s="95">
        <f>IF(AND(H245=H$11,LEN(H245)&gt;1,Q245=1),1,0)</f>
        <v>0</v>
      </c>
      <c r="V245" s="97">
        <f>VLOOKUP(10,X236:Y251,2,0)</f>
        <v>1</v>
      </c>
      <c r="X245" s="95">
        <f t="shared" si="146"/>
        <v>10</v>
      </c>
      <c r="Y245" s="95">
        <f t="shared" si="147"/>
        <v>1</v>
      </c>
      <c r="Z245" s="95">
        <f t="shared" si="148"/>
        <v>0</v>
      </c>
    </row>
    <row r="246" spans="1:26">
      <c r="A246" s="95">
        <v>11</v>
      </c>
      <c r="B246" s="95" t="str">
        <f>Singles!N105</f>
        <v>GINER 6-4 6-3</v>
      </c>
      <c r="C246" s="100" t="str">
        <f>IF(OR(LEFT(B246,LEN(B$12))=B$12,LEFT(B246,LEN(C$12))=C$12,LEN(B246)&lt;2),"","Wrong pick")</f>
        <v/>
      </c>
      <c r="D246" s="95">
        <f t="shared" ca="1" si="138"/>
        <v>0</v>
      </c>
      <c r="G246" s="95" t="str">
        <f>IF(B246=0,"",IF(LEFT(B246,LEN(B$12))=B$12,B$12,C$12))</f>
        <v>giner</v>
      </c>
      <c r="H246" s="95" t="str">
        <f t="shared" si="139"/>
        <v>2-0</v>
      </c>
      <c r="I246" s="95" t="str">
        <f ca="1">IF(AND(J246=Singles!$H$21,INDIRECT(ADDRESS(A246+1,6,1))=0,NOT(INDIRECT(ADDRESS(A246+1,5,1))="")),IF(D246=0,IF(H246=H264,"",G246&amp;" "&amp;H246&amp;" v "&amp;H264&amp;", "),G246&amp;" "&amp;H246&amp;" vs. "&amp;G264&amp;" "&amp;H264&amp;", "),"")</f>
        <v/>
      </c>
      <c r="J246" s="97">
        <f>Singles!H$13</f>
        <v>1</v>
      </c>
      <c r="K246" s="95" t="str">
        <f t="shared" si="140"/>
        <v>PTS</v>
      </c>
      <c r="L246" s="95" t="str">
        <f t="shared" si="141"/>
        <v>6-4 6-3</v>
      </c>
      <c r="M246" s="95" t="str">
        <f t="shared" si="142"/>
        <v>64 63</v>
      </c>
      <c r="N246" s="95" t="str">
        <f t="shared" si="143"/>
        <v>64 63</v>
      </c>
      <c r="O246" s="95" t="str">
        <f t="shared" si="144"/>
        <v>64 63</v>
      </c>
      <c r="P246" s="95" t="str">
        <f t="shared" si="145"/>
        <v>64 63</v>
      </c>
      <c r="Q246" s="95">
        <f>IF(AND(G246=T$12,LEN(G246)&gt;1),1,0)</f>
        <v>0</v>
      </c>
      <c r="R246" s="97">
        <f>Singles!D$13</f>
        <v>11</v>
      </c>
      <c r="S246" s="95">
        <f>IF(AND(H246=H$12,LEN(H246)&gt;1,Q246=1),1,0)</f>
        <v>0</v>
      </c>
      <c r="V246" s="97">
        <f>VLOOKUP(11,X236:Y251,2,0)</f>
        <v>1</v>
      </c>
      <c r="X246" s="95">
        <f t="shared" si="146"/>
        <v>11</v>
      </c>
      <c r="Y246" s="95">
        <f t="shared" si="147"/>
        <v>1</v>
      </c>
      <c r="Z246" s="95">
        <f t="shared" si="148"/>
        <v>0</v>
      </c>
    </row>
    <row r="247" spans="1:26">
      <c r="A247" s="95">
        <v>12</v>
      </c>
      <c r="B247" s="95" t="str">
        <f>Singles!N106</f>
        <v>TURINI 4-6 6-4 6-4</v>
      </c>
      <c r="C247" s="100" t="str">
        <f>IF(OR(LEFT(B247,LEN(B$13))=B$13,LEFT(B247,LEN(C$13))=C$13,LEN(B247)&lt;2),"","Wrong pick")</f>
        <v/>
      </c>
      <c r="D247" s="95">
        <f t="shared" ca="1" si="138"/>
        <v>0</v>
      </c>
      <c r="G247" s="95" t="str">
        <f>IF(B247=0,"",IF(LEFT(B247,LEN(B$13))=B$13,B$13,C$13))</f>
        <v>turini</v>
      </c>
      <c r="H247" s="95" t="str">
        <f t="shared" si="139"/>
        <v>2-1</v>
      </c>
      <c r="I247" s="95" t="str">
        <f ca="1">IF(AND(J247=Singles!$H$21,INDIRECT(ADDRESS(A247+1,6,1))=0,NOT(INDIRECT(ADDRESS(A247+1,5,1))="")),IF(D247=0,IF(H247=H265,"",G247&amp;" "&amp;H247&amp;" v "&amp;H265&amp;", "),G247&amp;" "&amp;H247&amp;" vs. "&amp;G265&amp;" "&amp;H265&amp;", "),"")</f>
        <v/>
      </c>
      <c r="J247" s="97">
        <f>Singles!H$14</f>
        <v>1</v>
      </c>
      <c r="K247" s="95" t="str">
        <f t="shared" si="140"/>
        <v>PTS</v>
      </c>
      <c r="L247" s="95" t="str">
        <f t="shared" si="141"/>
        <v>4-6 6-4 6-4</v>
      </c>
      <c r="M247" s="95" t="str">
        <f t="shared" si="142"/>
        <v>46 64 64</v>
      </c>
      <c r="N247" s="95" t="str">
        <f t="shared" si="143"/>
        <v>46 64 64</v>
      </c>
      <c r="O247" s="95" t="str">
        <f t="shared" si="144"/>
        <v>46 64 64</v>
      </c>
      <c r="P247" s="95" t="str">
        <f t="shared" si="145"/>
        <v>46 64 64</v>
      </c>
      <c r="Q247" s="95">
        <f>IF(AND(G247=T$13,LEN(G247)&gt;1),1,0)</f>
        <v>0</v>
      </c>
      <c r="R247" s="97">
        <f>Singles!D$14</f>
        <v>12</v>
      </c>
      <c r="S247" s="95">
        <f>IF(AND(H247=H$13,LEN(H247)&gt;1,Q247=1),1,0)</f>
        <v>0</v>
      </c>
      <c r="V247" s="97">
        <f>VLOOKUP(12,X236:Y251,2,0)</f>
        <v>2</v>
      </c>
      <c r="X247" s="95">
        <f t="shared" si="146"/>
        <v>12</v>
      </c>
      <c r="Y247" s="95">
        <f t="shared" si="147"/>
        <v>2</v>
      </c>
      <c r="Z247" s="95">
        <f t="shared" si="148"/>
        <v>0</v>
      </c>
    </row>
    <row r="248" spans="1:26">
      <c r="A248" s="95">
        <v>13</v>
      </c>
      <c r="B248" s="95" t="str">
        <f>Singles!N107</f>
        <v>LOBKOV 6-3 6-2</v>
      </c>
      <c r="C248" s="100" t="str">
        <f>IF(OR(LEFT(B248,LEN(B$14))=B$14,LEFT(B248,LEN(C$14))=C$14,LEN(B248)&lt;2),"","Wrong pick")</f>
        <v/>
      </c>
      <c r="D248" s="95">
        <f t="shared" ca="1" si="138"/>
        <v>0</v>
      </c>
      <c r="G248" s="95" t="str">
        <f>IF(B248=0,"",IF(LEFT(B248,LEN(B$14))=B$14,B$14,C$14))</f>
        <v>lobkov</v>
      </c>
      <c r="H248" s="95" t="str">
        <f t="shared" si="139"/>
        <v>2-0</v>
      </c>
      <c r="I248" s="95" t="str">
        <f ca="1">IF(AND(J248=Singles!$H$21,INDIRECT(ADDRESS(A248+1,6,1))=0,NOT(INDIRECT(ADDRESS(A248+1,5,1))="")),IF(D248=0,IF(H248=H266,"",G248&amp;" "&amp;H248&amp;" v "&amp;H266&amp;", "),G248&amp;" "&amp;H248&amp;" vs. "&amp;G266&amp;" "&amp;H266&amp;", "),"")</f>
        <v/>
      </c>
      <c r="J248" s="97">
        <f>Singles!H$15</f>
        <v>1</v>
      </c>
      <c r="K248" s="95" t="str">
        <f t="shared" si="140"/>
        <v>PTS</v>
      </c>
      <c r="L248" s="95" t="str">
        <f t="shared" si="141"/>
        <v>6-3 6-2</v>
      </c>
      <c r="M248" s="95" t="str">
        <f t="shared" si="142"/>
        <v>63 62</v>
      </c>
      <c r="N248" s="95" t="str">
        <f t="shared" si="143"/>
        <v>63 62</v>
      </c>
      <c r="O248" s="95" t="str">
        <f t="shared" si="144"/>
        <v>63 62</v>
      </c>
      <c r="P248" s="95" t="str">
        <f t="shared" si="145"/>
        <v>63 62</v>
      </c>
      <c r="Q248" s="95">
        <f>IF(AND(G248=T$14,LEN(G248)&gt;1),1,0)</f>
        <v>0</v>
      </c>
      <c r="R248" s="97">
        <f>Singles!D$15</f>
        <v>13</v>
      </c>
      <c r="S248" s="95">
        <f>IF(AND(H248=H$14,LEN(H248)&gt;1,Q248=1),1,0)</f>
        <v>0</v>
      </c>
      <c r="V248" s="97">
        <f>VLOOKUP(13,X236:Y251,2,0)</f>
        <v>1</v>
      </c>
      <c r="X248" s="95">
        <f t="shared" si="146"/>
        <v>13</v>
      </c>
      <c r="Y248" s="95">
        <f t="shared" si="147"/>
        <v>1</v>
      </c>
      <c r="Z248" s="95">
        <f t="shared" si="148"/>
        <v>0</v>
      </c>
    </row>
    <row r="249" spans="1:26">
      <c r="A249" s="95">
        <v>14</v>
      </c>
      <c r="B249" s="95" t="str">
        <f>Singles!N108</f>
        <v>SANTOS 4-6 6-4 7-5</v>
      </c>
      <c r="C249" s="100" t="str">
        <f>IF(OR(LEFT(B249,LEN(B$15))=B$15,LEFT(B249,LEN(C$15))=C$15,LEN(B249)&lt;2),"","Wrong pick")</f>
        <v/>
      </c>
      <c r="D249" s="95">
        <f t="shared" ca="1" si="138"/>
        <v>1</v>
      </c>
      <c r="G249" s="95" t="str">
        <f>IF(B249=0,"",IF(LEFT(B249,LEN(B$15))=B$15,B$15,C$15))</f>
        <v>santos</v>
      </c>
      <c r="H249" s="95" t="str">
        <f t="shared" si="139"/>
        <v>2-1</v>
      </c>
      <c r="I249" s="95" t="str">
        <f ca="1">IF(AND(J249=Singles!$H$21,INDIRECT(ADDRESS(A249+1,6,1))=0,NOT(INDIRECT(ADDRESS(A249+1,5,1))="")),IF(D249=0,IF(H249=H267,"",G249&amp;" "&amp;H249&amp;" v "&amp;H267&amp;", "),G249&amp;" "&amp;H249&amp;" vs. "&amp;G267&amp;" "&amp;H267&amp;", "),"")</f>
        <v xml:space="preserve">santos 2-1 vs. Fligia 2-0, </v>
      </c>
      <c r="J249" s="97">
        <f>Singles!H$16</f>
        <v>1</v>
      </c>
      <c r="K249" s="95" t="str">
        <f t="shared" si="140"/>
        <v>PTS</v>
      </c>
      <c r="L249" s="95" t="str">
        <f t="shared" si="141"/>
        <v>4-6 6-4 7-5</v>
      </c>
      <c r="M249" s="95" t="str">
        <f t="shared" si="142"/>
        <v>46 64 75</v>
      </c>
      <c r="N249" s="95" t="str">
        <f t="shared" si="143"/>
        <v>46 64 75</v>
      </c>
      <c r="O249" s="95" t="str">
        <f t="shared" si="144"/>
        <v>46 64 75</v>
      </c>
      <c r="P249" s="95" t="str">
        <f t="shared" si="145"/>
        <v>46 64 75</v>
      </c>
      <c r="Q249" s="95">
        <f>IF(AND(G249=T$15,LEN(G249)&gt;1),1,0)</f>
        <v>0</v>
      </c>
      <c r="R249" s="97">
        <f>Singles!D$16</f>
        <v>14</v>
      </c>
      <c r="S249" s="95">
        <f>IF(AND(H249=H$15,LEN(H249)&gt;1,Q249=1),1,0)</f>
        <v>0</v>
      </c>
      <c r="V249" s="97">
        <f>VLOOKUP(14,X236:Y251,2,0)</f>
        <v>2</v>
      </c>
      <c r="X249" s="95">
        <f t="shared" si="146"/>
        <v>14</v>
      </c>
      <c r="Y249" s="95">
        <f t="shared" si="147"/>
        <v>2</v>
      </c>
      <c r="Z249" s="95">
        <f t="shared" si="148"/>
        <v>0</v>
      </c>
    </row>
    <row r="250" spans="1:26">
      <c r="A250" s="95">
        <v>15</v>
      </c>
      <c r="B250" s="95" t="str">
        <f>Singles!N109</f>
        <v>SANTOS 7-5 6-4</v>
      </c>
      <c r="C250" s="100" t="str">
        <f>IF(OR(LEFT(B250,LEN(B$16))=B$16,LEFT(B250,LEN(C$16))=C$16,LEN(B250)&lt;2),"","Wrong pick")</f>
        <v/>
      </c>
      <c r="D250" s="95">
        <f t="shared" ca="1" si="138"/>
        <v>0</v>
      </c>
      <c r="G250" s="95" t="str">
        <f>IF(B250=0,"",IF(LEFT(B250,LEN(B$16))=B$16,B$16,C$16))</f>
        <v>santos</v>
      </c>
      <c r="H250" s="95" t="str">
        <f t="shared" si="139"/>
        <v>2-0</v>
      </c>
      <c r="I250" s="95" t="str">
        <f ca="1">IF(AND(J250=Singles!$H$21,INDIRECT(ADDRESS(A250+1,6,1))=0,NOT(INDIRECT(ADDRESS(A250+1,5,1))="")),IF(D250=0,IF(H250=H268,"",G250&amp;" "&amp;H250&amp;" v "&amp;H268&amp;", "),G250&amp;" "&amp;H250&amp;" vs. "&amp;G268&amp;" "&amp;H268&amp;", "),"")</f>
        <v/>
      </c>
      <c r="J250" s="97">
        <f>Singles!H$17</f>
        <v>1</v>
      </c>
      <c r="K250" s="95" t="str">
        <f t="shared" si="140"/>
        <v>PTS</v>
      </c>
      <c r="L250" s="95" t="str">
        <f t="shared" si="141"/>
        <v>7-5 6-4</v>
      </c>
      <c r="M250" s="95" t="str">
        <f t="shared" si="142"/>
        <v>75 64</v>
      </c>
      <c r="N250" s="95" t="str">
        <f t="shared" si="143"/>
        <v>75 64</v>
      </c>
      <c r="O250" s="95" t="str">
        <f t="shared" si="144"/>
        <v>75 64</v>
      </c>
      <c r="P250" s="95" t="str">
        <f t="shared" si="145"/>
        <v>75 64</v>
      </c>
      <c r="Q250" s="95">
        <f>IF(AND(G250=T$16,LEN(G250)&gt;1),1,0)</f>
        <v>0</v>
      </c>
      <c r="R250" s="97">
        <f>Singles!D$17</f>
        <v>15</v>
      </c>
      <c r="S250" s="95">
        <f>IF(AND(H250=H$16,LEN(H250)&gt;1,Q250=1),1,0)</f>
        <v>0</v>
      </c>
      <c r="V250" s="97">
        <f>VLOOKUP(15,X236:Y251,2,0)</f>
        <v>1</v>
      </c>
      <c r="X250" s="95">
        <f t="shared" si="146"/>
        <v>15</v>
      </c>
      <c r="Y250" s="95">
        <f t="shared" si="147"/>
        <v>1</v>
      </c>
      <c r="Z250" s="95">
        <f t="shared" si="148"/>
        <v>0</v>
      </c>
    </row>
    <row r="251" spans="1:26">
      <c r="A251" s="95">
        <v>16</v>
      </c>
      <c r="B251" s="95" t="str">
        <f>Singles!N110</f>
        <v>LOJDA 6-3 6-2</v>
      </c>
      <c r="C251" s="100" t="str">
        <f>IF(OR(LEFT(B251,LEN(B$17))=B$17,LEFT(B251,LEN(C$17))=C$17,LEN(B251)&lt;2),"","Wrong pick")</f>
        <v/>
      </c>
      <c r="D251" s="95">
        <f t="shared" ca="1" si="138"/>
        <v>0</v>
      </c>
      <c r="G251" s="95" t="str">
        <f>IF(B251=0,"",IF(LEFT(B251,LEN(B$17))=B$17,B$17,C$17))</f>
        <v>lojda</v>
      </c>
      <c r="H251" s="95" t="str">
        <f t="shared" si="139"/>
        <v>2-0</v>
      </c>
      <c r="I251" s="95" t="str">
        <f ca="1">IF(AND(J251=Singles!$H$21,INDIRECT(ADDRESS(A251+1,6,1))=0,NOT(INDIRECT(ADDRESS(A251+1,5,1))="")),IF(D251=0,IF(H251=H269,"",G251&amp;" "&amp;H251&amp;" v "&amp;H269&amp;", "),G251&amp;" "&amp;H251&amp;" vs. "&amp;G269&amp;" "&amp;H269&amp;", "),"")</f>
        <v/>
      </c>
      <c r="J251" s="97">
        <f>Singles!H$18</f>
        <v>1</v>
      </c>
      <c r="K251" s="95" t="str">
        <f t="shared" si="140"/>
        <v>PTS</v>
      </c>
      <c r="L251" s="95" t="str">
        <f t="shared" si="141"/>
        <v>6-3 6-2</v>
      </c>
      <c r="M251" s="95" t="str">
        <f t="shared" si="142"/>
        <v>63 62</v>
      </c>
      <c r="N251" s="95" t="str">
        <f t="shared" si="143"/>
        <v>63 62</v>
      </c>
      <c r="O251" s="95" t="str">
        <f t="shared" si="144"/>
        <v>63 62</v>
      </c>
      <c r="P251" s="95" t="str">
        <f t="shared" si="145"/>
        <v>63 62</v>
      </c>
      <c r="Q251" s="95">
        <f>IF(AND(G251=T$17,LEN(G251)&gt;1),1,0)</f>
        <v>0</v>
      </c>
      <c r="R251" s="97">
        <f>Singles!D$18</f>
        <v>16</v>
      </c>
      <c r="S251" s="95">
        <f>IF(AND(H251=H$17,LEN(H251)&gt;1,Q251=1),1,0)</f>
        <v>0</v>
      </c>
      <c r="V251" s="97">
        <f>VLOOKUP(16,X236:Y251,2,0)</f>
        <v>1</v>
      </c>
      <c r="X251" s="95">
        <f t="shared" si="146"/>
        <v>16</v>
      </c>
      <c r="Y251" s="95">
        <f t="shared" si="147"/>
        <v>1</v>
      </c>
      <c r="Z251" s="95">
        <f t="shared" si="148"/>
        <v>0</v>
      </c>
    </row>
    <row r="253" spans="1:26">
      <c r="A253" s="95" t="str">
        <f>IF(LEN(VLOOKUP(B253,Singles!$A$2:$B$33,2,0))&gt;0,VLOOKUP(B253,Singles!$A$2:$B$33,2,0),"")</f>
        <v/>
      </c>
      <c r="B253" s="96" t="str">
        <f>Singles!O94</f>
        <v>Walter Hitzschky</v>
      </c>
      <c r="C253" s="96">
        <v>14</v>
      </c>
      <c r="D253" s="95" t="str">
        <f>VLOOKUP(B253,Singles!$A$2:$C$33,3,0)</f>
        <v>BRA</v>
      </c>
      <c r="J253" s="95" t="s">
        <v>88</v>
      </c>
      <c r="Q253" s="95" t="s">
        <v>121</v>
      </c>
      <c r="S253" s="95" t="s">
        <v>122</v>
      </c>
      <c r="T253" s="95" t="str">
        <f>IF(LEN(A253)&gt;0,"("&amp;A253&amp;") "&amp;B253,B253)&amp;IF(LEN(D253)&gt;1," ("&amp;D253&amp;")","")</f>
        <v>Walter Hitzschky (BRA)</v>
      </c>
      <c r="V253" s="95" t="s">
        <v>123</v>
      </c>
      <c r="Y253" s="95" t="s">
        <v>123</v>
      </c>
    </row>
    <row r="254" spans="1:26">
      <c r="A254" s="95">
        <v>1</v>
      </c>
      <c r="B254" s="95" t="str">
        <f>Singles!O95</f>
        <v>TRAVAGLIA 75 46 64</v>
      </c>
      <c r="C254" s="99" t="str">
        <f>IF(OR(LEFT(B254,LEN(B$2))=B$2,LEFT(B254,LEN(C$2))=C$2,LEN(B254)&lt;2),"","Wrong pick")</f>
        <v/>
      </c>
      <c r="E254" s="95" t="str">
        <f ca="1">IF(AND(D236=1,J254=$I$2),G254&amp;", ","")&amp;IF(AND(D237=1,J255=$I$2),G255&amp;", ","")&amp;IF(AND(D238=1,J256=$I$2),G256&amp;", ","")&amp;IF(AND(D239=1,J257=$I$2),G257&amp;", ","")&amp;IF(AND(D240=1,J258=$I$2),G258&amp;", ","")&amp;IF(AND(D241=1,J259=$I$2),G259&amp;", ","")&amp;IF(AND(D242=1,J260=$I$2),G260&amp;", ","")&amp;IF(AND(D243=1,J261=$I$2),G261&amp;", ","")&amp;IF(AND(D244=1,J262=$I$2),G262&amp;", ","")&amp;IF(AND(D245=1,J263=$I$2),G263&amp;", ","")&amp;IF(AND(D246=1,J264=$I$2),G264&amp;", ","")&amp;IF(AND(D247=1,J265=$I$2),G265&amp;", ","")&amp;IF(AND(D248=1,J266=$I$2),G266&amp;", ","")&amp;IF(AND(D249=1,J267=$I$2),G267&amp;", ","")&amp;IF(AND(D250=1,J268=$I$2),G268&amp;", ","")&amp;IF(AND(D251=1,J269=$I$2),G269&amp;", ","")</f>
        <v xml:space="preserve">Laranja, matos, Fligia, </v>
      </c>
      <c r="F254" s="95" t="str">
        <f>IF(AND(SUM(Z254:Z269)=$I$4,NOT(B253="Bye")),"Missing picks from "&amp;B253&amp;" ","")</f>
        <v/>
      </c>
      <c r="G254" s="95" t="str">
        <f>IF(B254=0,"",IF(LEFT(B254,LEN(B$2))=B$2,B$2,C$2))</f>
        <v>Travaglia</v>
      </c>
      <c r="H254" s="95" t="str">
        <f t="shared" ref="H254:H269" si="149">IF(L254="","",IF(K254="PTS",IF(LEN(O254)&lt;8,"2-0","2-1"),LEFT(O254,1)&amp;"-"&amp;RIGHT(O254,1)))</f>
        <v>2-1</v>
      </c>
      <c r="J254" s="97">
        <f>Singles!H$3</f>
        <v>1</v>
      </c>
      <c r="K254" s="95" t="str">
        <f t="shared" ref="K254:K269" si="150">IF(LEN(L254)&gt;0,IF(LEN(O254)&lt;4,"SR","PTS"),"")</f>
        <v>PTS</v>
      </c>
      <c r="L254" s="95" t="str">
        <f t="shared" ref="L254:L269" si="151">TRIM(RIGHT(B254,LEN(B254)-LEN(G254)))</f>
        <v>75 46 64</v>
      </c>
      <c r="M254" s="95" t="str">
        <f t="shared" ref="M254:M269" si="152">SUBSTITUTE(L254,"-","")</f>
        <v>75 46 64</v>
      </c>
      <c r="N254" s="95" t="str">
        <f t="shared" ref="N254:N269" si="153">SUBSTITUTE(M254,","," ")</f>
        <v>75 46 64</v>
      </c>
      <c r="O254" s="95" t="str">
        <f t="shared" ref="O254:O269" si="154">IF(AND(LEN(TRIM(SUBSTITUTE(P254,"/","")))&gt;6,OR(LEFT(TRIM(SUBSTITUTE(P254,"/","")),2)="20",LEFT(TRIM(SUBSTITUTE(P254,"/","")),2)="21")),RIGHT(TRIM(SUBSTITUTE(P254,"/","")),LEN(TRIM(SUBSTITUTE(P254,"/","")))-3),TRIM(SUBSTITUTE(P254,"/","")))</f>
        <v>75 46 64</v>
      </c>
      <c r="P254" s="95" t="str">
        <f t="shared" ref="P254:P269" si="155">SUBSTITUTE(N254,":","")</f>
        <v>75 46 64</v>
      </c>
      <c r="Q254" s="95">
        <f>IF(AND(G254=T$2,LEN(G254)&gt;1),1,0)</f>
        <v>0</v>
      </c>
      <c r="R254" s="97">
        <f>Singles!D$3</f>
        <v>1</v>
      </c>
      <c r="S254" s="95">
        <f>IF(AND(H254=H$2,LEN(H254)&gt;1,Q254=1),1,0)</f>
        <v>0</v>
      </c>
      <c r="T254" s="95" t="str">
        <f t="shared" ref="T254:T269" si="156">IF(V236=V254,"No","Winner")</f>
        <v>No</v>
      </c>
      <c r="U254" s="95" t="str">
        <f>IF(T254="Winner",IF(V254&gt;V236,B253,B235),"")</f>
        <v/>
      </c>
      <c r="V254" s="97">
        <f>VLOOKUP(1,X254:Y269,2,0)</f>
        <v>2</v>
      </c>
      <c r="W254" s="95">
        <v>1</v>
      </c>
      <c r="X254" s="95">
        <f t="shared" ref="X254:X269" si="157">R254</f>
        <v>1</v>
      </c>
      <c r="Y254" s="95">
        <f t="shared" ref="Y254:Y269" si="158">IF(Q254=1,IF(S254=1,4,3),IF(H254="2-1",2,1))</f>
        <v>2</v>
      </c>
      <c r="Z254" s="95">
        <f t="shared" ref="Z254:Z269" si="159">IF(AND($I$2=J254,B254=0),1,0)</f>
        <v>0</v>
      </c>
    </row>
    <row r="255" spans="1:26">
      <c r="A255" s="95">
        <v>2</v>
      </c>
      <c r="B255" s="95" t="str">
        <f>Singles!O96</f>
        <v>MACHADO 64 64</v>
      </c>
      <c r="C255" s="100" t="str">
        <f>IF(OR(LEFT(B255,LEN(B$3))=B$3,LEFT(B255,LEN(C$3))=C$3,LEN(B255)&lt;2),"","Wrong pick")</f>
        <v/>
      </c>
      <c r="G255" s="95" t="str">
        <f>IF(B255=0,"",IF(LEFT(B255,LEN(B$3))=B$3,B$3,C$3))</f>
        <v>Machado</v>
      </c>
      <c r="H255" s="95" t="str">
        <f t="shared" si="149"/>
        <v>2-0</v>
      </c>
      <c r="J255" s="97">
        <f>Singles!H$4</f>
        <v>1</v>
      </c>
      <c r="K255" s="95" t="str">
        <f t="shared" si="150"/>
        <v>PTS</v>
      </c>
      <c r="L255" s="95" t="str">
        <f t="shared" si="151"/>
        <v>64 64</v>
      </c>
      <c r="M255" s="95" t="str">
        <f t="shared" si="152"/>
        <v>64 64</v>
      </c>
      <c r="N255" s="95" t="str">
        <f t="shared" si="153"/>
        <v>64 64</v>
      </c>
      <c r="O255" s="95" t="str">
        <f t="shared" si="154"/>
        <v>64 64</v>
      </c>
      <c r="P255" s="95" t="str">
        <f t="shared" si="155"/>
        <v>64 64</v>
      </c>
      <c r="Q255" s="95">
        <f>IF(AND(G255=T$3,LEN(G255)&gt;1),1,0)</f>
        <v>0</v>
      </c>
      <c r="R255" s="97">
        <f>Singles!D$4</f>
        <v>2</v>
      </c>
      <c r="S255" s="95">
        <f>IF(AND(H255=H$3,LEN(H255)&gt;1,Q255=1),1,0)</f>
        <v>0</v>
      </c>
      <c r="T255" s="95" t="str">
        <f t="shared" si="156"/>
        <v>No</v>
      </c>
      <c r="U255" s="95" t="str">
        <f>IF(T255="Winner",IF(V255&gt;V237,B253,B235),"")</f>
        <v/>
      </c>
      <c r="V255" s="97">
        <f>VLOOKUP(2,X254:Y269,2,0)</f>
        <v>1</v>
      </c>
      <c r="W255" s="95">
        <v>2</v>
      </c>
      <c r="X255" s="95">
        <f t="shared" si="157"/>
        <v>2</v>
      </c>
      <c r="Y255" s="95">
        <f t="shared" si="158"/>
        <v>1</v>
      </c>
      <c r="Z255" s="95">
        <f t="shared" si="159"/>
        <v>0</v>
      </c>
    </row>
    <row r="256" spans="1:26">
      <c r="A256" s="95">
        <v>3</v>
      </c>
      <c r="B256" s="95" t="str">
        <f>Singles!O97</f>
        <v>JUNQUEIRA 62 62</v>
      </c>
      <c r="C256" s="100" t="str">
        <f>IF(OR(LEFT(B256,LEN(B$4))=B$4,LEFT(B256,LEN(C$4))=C$4,LEN(B256)&lt;2),"","Wrong pick")</f>
        <v/>
      </c>
      <c r="G256" s="95" t="str">
        <f>IF(B256=0,"",IF(LEFT(B256,LEN(B$4))=B$4,B$4,C$4))</f>
        <v>Junqueira</v>
      </c>
      <c r="H256" s="95" t="str">
        <f t="shared" si="149"/>
        <v>2-0</v>
      </c>
      <c r="J256" s="97">
        <f>Singles!H$5</f>
        <v>1</v>
      </c>
      <c r="K256" s="95" t="str">
        <f t="shared" si="150"/>
        <v>PTS</v>
      </c>
      <c r="L256" s="95" t="str">
        <f t="shared" si="151"/>
        <v>62 62</v>
      </c>
      <c r="M256" s="95" t="str">
        <f t="shared" si="152"/>
        <v>62 62</v>
      </c>
      <c r="N256" s="95" t="str">
        <f t="shared" si="153"/>
        <v>62 62</v>
      </c>
      <c r="O256" s="95" t="str">
        <f t="shared" si="154"/>
        <v>62 62</v>
      </c>
      <c r="P256" s="95" t="str">
        <f t="shared" si="155"/>
        <v>62 62</v>
      </c>
      <c r="Q256" s="95">
        <f>IF(AND(G256=T$4,LEN(G256)&gt;1),1,0)</f>
        <v>0</v>
      </c>
      <c r="R256" s="97">
        <f>Singles!D$5</f>
        <v>3</v>
      </c>
      <c r="S256" s="95">
        <f>IF(AND(H256=H$4,LEN(H256)&gt;1,Q256=1),1,0)</f>
        <v>0</v>
      </c>
      <c r="T256" s="95" t="str">
        <f t="shared" si="156"/>
        <v>No</v>
      </c>
      <c r="U256" s="95" t="str">
        <f>IF(T256="Winner",IF(V256&gt;V238,B253,B235),"")</f>
        <v/>
      </c>
      <c r="V256" s="97">
        <f>VLOOKUP(3,X254:Y269,2,0)</f>
        <v>1</v>
      </c>
      <c r="W256" s="95">
        <v>3</v>
      </c>
      <c r="X256" s="95">
        <f t="shared" si="157"/>
        <v>3</v>
      </c>
      <c r="Y256" s="95">
        <f t="shared" si="158"/>
        <v>1</v>
      </c>
      <c r="Z256" s="95">
        <f t="shared" si="159"/>
        <v>0</v>
      </c>
    </row>
    <row r="257" spans="1:26">
      <c r="A257" s="95">
        <v>4</v>
      </c>
      <c r="B257" s="95" t="str">
        <f>Singles!O98</f>
        <v>LARANJA 75 46 64</v>
      </c>
      <c r="C257" s="100" t="str">
        <f>IF(OR(LEFT(B257,LEN(B$5))=B$5,LEFT(B257,LEN(C$5))=C$5,LEN(B257)&lt;2),"","Wrong pick")</f>
        <v/>
      </c>
      <c r="G257" s="95" t="str">
        <f>IF(B257=0,"",IF(LEFT(B257,LEN(B$5))=B$5,B$5,C$5))</f>
        <v>Laranja</v>
      </c>
      <c r="H257" s="95" t="str">
        <f t="shared" si="149"/>
        <v>2-1</v>
      </c>
      <c r="J257" s="97">
        <f>Singles!H$6</f>
        <v>1</v>
      </c>
      <c r="K257" s="95" t="str">
        <f t="shared" si="150"/>
        <v>PTS</v>
      </c>
      <c r="L257" s="95" t="str">
        <f t="shared" si="151"/>
        <v>75 46 64</v>
      </c>
      <c r="M257" s="95" t="str">
        <f t="shared" si="152"/>
        <v>75 46 64</v>
      </c>
      <c r="N257" s="95" t="str">
        <f t="shared" si="153"/>
        <v>75 46 64</v>
      </c>
      <c r="O257" s="95" t="str">
        <f t="shared" si="154"/>
        <v>75 46 64</v>
      </c>
      <c r="P257" s="95" t="str">
        <f t="shared" si="155"/>
        <v>75 46 64</v>
      </c>
      <c r="Q257" s="95">
        <f>IF(AND(G257=T$5,LEN(G257)&gt;1),1,0)</f>
        <v>0</v>
      </c>
      <c r="R257" s="97">
        <f>Singles!D$6</f>
        <v>4</v>
      </c>
      <c r="S257" s="95">
        <f>IF(AND(H257=H$5,LEN(H257)&gt;1,Q257=1),1,0)</f>
        <v>0</v>
      </c>
      <c r="T257" s="95" t="str">
        <f t="shared" si="156"/>
        <v>No</v>
      </c>
      <c r="U257" s="95" t="str">
        <f>IF(T257="Winner",IF(V257&gt;V239,B253,B235),"")</f>
        <v/>
      </c>
      <c r="V257" s="97">
        <f>VLOOKUP(4,X254:Y269,2,0)</f>
        <v>2</v>
      </c>
      <c r="W257" s="95">
        <v>4</v>
      </c>
      <c r="X257" s="95">
        <f t="shared" si="157"/>
        <v>4</v>
      </c>
      <c r="Y257" s="95">
        <f t="shared" si="158"/>
        <v>2</v>
      </c>
      <c r="Z257" s="95">
        <f t="shared" si="159"/>
        <v>0</v>
      </c>
    </row>
    <row r="258" spans="1:26">
      <c r="A258" s="95">
        <v>5</v>
      </c>
      <c r="B258" s="95" t="str">
        <f>Singles!O99</f>
        <v>PODLIPBIK-CASTILLO 64 64</v>
      </c>
      <c r="C258" s="100" t="str">
        <f>IF(OR(LEFT(B258,LEN(B$6))=B$6,LEFT(B258,LEN(C$6))=C$6,LEN(B258)&lt;2),"","Wrong pick")</f>
        <v/>
      </c>
      <c r="G258" s="95" t="str">
        <f>IF(B258=0,"",IF(LEFT(B258,LEN(B$6))=B$6,B$6,C$6))</f>
        <v>PODLIPBIK-CASTILLO</v>
      </c>
      <c r="H258" s="95" t="str">
        <f t="shared" si="149"/>
        <v>2-0</v>
      </c>
      <c r="J258" s="97">
        <f>Singles!H$7</f>
        <v>1</v>
      </c>
      <c r="K258" s="95" t="str">
        <f t="shared" si="150"/>
        <v>PTS</v>
      </c>
      <c r="L258" s="95" t="str">
        <f t="shared" si="151"/>
        <v>64 64</v>
      </c>
      <c r="M258" s="95" t="str">
        <f t="shared" si="152"/>
        <v>64 64</v>
      </c>
      <c r="N258" s="95" t="str">
        <f t="shared" si="153"/>
        <v>64 64</v>
      </c>
      <c r="O258" s="95" t="str">
        <f t="shared" si="154"/>
        <v>64 64</v>
      </c>
      <c r="P258" s="95" t="str">
        <f t="shared" si="155"/>
        <v>64 64</v>
      </c>
      <c r="Q258" s="95">
        <f>IF(AND(G258=T$6,LEN(G258)&gt;1),1,0)</f>
        <v>0</v>
      </c>
      <c r="R258" s="97">
        <f>Singles!D$7</f>
        <v>5</v>
      </c>
      <c r="S258" s="95">
        <f>IF(AND(H258=H$6,LEN(H258)&gt;1,Q258=1),1,0)</f>
        <v>0</v>
      </c>
      <c r="T258" s="95" t="str">
        <f t="shared" si="156"/>
        <v>No</v>
      </c>
      <c r="U258" s="95" t="str">
        <f>IF(T258="Winner",IF(V258&gt;V240,B253,B235),"")</f>
        <v/>
      </c>
      <c r="V258" s="97">
        <f>VLOOKUP(5,X254:Y269,2,0)</f>
        <v>1</v>
      </c>
      <c r="W258" s="95">
        <v>5</v>
      </c>
      <c r="X258" s="95">
        <f t="shared" si="157"/>
        <v>5</v>
      </c>
      <c r="Y258" s="95">
        <f t="shared" si="158"/>
        <v>1</v>
      </c>
      <c r="Z258" s="95">
        <f t="shared" si="159"/>
        <v>0</v>
      </c>
    </row>
    <row r="259" spans="1:26">
      <c r="A259" s="95">
        <v>6</v>
      </c>
      <c r="B259" s="95" t="str">
        <f>Singles!O100</f>
        <v>DURAN 75 46 64</v>
      </c>
      <c r="C259" s="100" t="str">
        <f>IF(OR(LEFT(B259,LEN(B$7))=B$7,LEFT(B259,LEN(C$7))=C$7,LEN(B259)&lt;2),"","Wrong pick")</f>
        <v/>
      </c>
      <c r="G259" s="95" t="str">
        <f>IF(B259=0,"",IF(LEFT(B259,LEN(B$7))=B$7,B$7,C$7))</f>
        <v>Duran</v>
      </c>
      <c r="H259" s="95" t="str">
        <f t="shared" si="149"/>
        <v>2-1</v>
      </c>
      <c r="J259" s="97">
        <f>Singles!H$8</f>
        <v>1</v>
      </c>
      <c r="K259" s="95" t="str">
        <f t="shared" si="150"/>
        <v>PTS</v>
      </c>
      <c r="L259" s="95" t="str">
        <f t="shared" si="151"/>
        <v>75 46 64</v>
      </c>
      <c r="M259" s="95" t="str">
        <f t="shared" si="152"/>
        <v>75 46 64</v>
      </c>
      <c r="N259" s="95" t="str">
        <f t="shared" si="153"/>
        <v>75 46 64</v>
      </c>
      <c r="O259" s="95" t="str">
        <f t="shared" si="154"/>
        <v>75 46 64</v>
      </c>
      <c r="P259" s="95" t="str">
        <f t="shared" si="155"/>
        <v>75 46 64</v>
      </c>
      <c r="Q259" s="95">
        <f>IF(AND(G259=T$7,LEN(G259)&gt;1),1,0)</f>
        <v>0</v>
      </c>
      <c r="R259" s="97">
        <f>Singles!D$8</f>
        <v>6</v>
      </c>
      <c r="S259" s="95">
        <f>IF(AND(H259=H$7,LEN(H259)&gt;1,Q259=1),1,0)</f>
        <v>0</v>
      </c>
      <c r="T259" s="95" t="str">
        <f t="shared" si="156"/>
        <v>Winner</v>
      </c>
      <c r="U259" s="95" t="str">
        <f>IF(T259="Winner",IF(V259&gt;V241,B253,B235),"")</f>
        <v>Walter Hitzschky</v>
      </c>
      <c r="V259" s="97">
        <f>VLOOKUP(6,X254:Y269,2,0)</f>
        <v>2</v>
      </c>
      <c r="W259" s="95">
        <v>6</v>
      </c>
      <c r="X259" s="95">
        <f t="shared" si="157"/>
        <v>6</v>
      </c>
      <c r="Y259" s="95">
        <f t="shared" si="158"/>
        <v>2</v>
      </c>
      <c r="Z259" s="95">
        <f t="shared" si="159"/>
        <v>0</v>
      </c>
    </row>
    <row r="260" spans="1:26">
      <c r="A260" s="95">
        <v>7</v>
      </c>
      <c r="B260" s="95" t="str">
        <f>Singles!O101</f>
        <v>MICHON 64 63</v>
      </c>
      <c r="C260" s="100" t="str">
        <f>IF(OR(LEFT(B260,LEN(B$8))=B$8,LEFT(B260,LEN(C$8))=C$8,LEN(B260)&lt;2),"","Wrong pick")</f>
        <v/>
      </c>
      <c r="G260" s="95" t="str">
        <f>IF(B260=0,"",IF(LEFT(B260,LEN(B$8))=B$8,B$8,C$8))</f>
        <v>Michon</v>
      </c>
      <c r="H260" s="95" t="str">
        <f t="shared" si="149"/>
        <v>2-0</v>
      </c>
      <c r="J260" s="97">
        <f>Singles!H$9</f>
        <v>1</v>
      </c>
      <c r="K260" s="95" t="str">
        <f t="shared" si="150"/>
        <v>PTS</v>
      </c>
      <c r="L260" s="95" t="str">
        <f t="shared" si="151"/>
        <v>64 63</v>
      </c>
      <c r="M260" s="95" t="str">
        <f t="shared" si="152"/>
        <v>64 63</v>
      </c>
      <c r="N260" s="95" t="str">
        <f t="shared" si="153"/>
        <v>64 63</v>
      </c>
      <c r="O260" s="95" t="str">
        <f t="shared" si="154"/>
        <v>64 63</v>
      </c>
      <c r="P260" s="95" t="str">
        <f t="shared" si="155"/>
        <v>64 63</v>
      </c>
      <c r="Q260" s="95">
        <f>IF(AND(G260=T$8,LEN(G260)&gt;1),1,0)</f>
        <v>0</v>
      </c>
      <c r="R260" s="97">
        <f>Singles!D$9</f>
        <v>7</v>
      </c>
      <c r="S260" s="95">
        <f>IF(AND(H260=H$8,LEN(H260)&gt;1,Q260=1),1,0)</f>
        <v>0</v>
      </c>
      <c r="T260" s="95" t="str">
        <f t="shared" si="156"/>
        <v>Winner</v>
      </c>
      <c r="U260" s="95" t="str">
        <f>IF(T260="Winner",IF(V260&gt;V242,B253,B235),"")</f>
        <v>Southend Aussies</v>
      </c>
      <c r="V260" s="97">
        <f>VLOOKUP(7,X254:Y269,2,0)</f>
        <v>1</v>
      </c>
      <c r="W260" s="95">
        <v>7</v>
      </c>
      <c r="X260" s="95">
        <f t="shared" si="157"/>
        <v>7</v>
      </c>
      <c r="Y260" s="95">
        <f t="shared" si="158"/>
        <v>1</v>
      </c>
      <c r="Z260" s="95">
        <f t="shared" si="159"/>
        <v>0</v>
      </c>
    </row>
    <row r="261" spans="1:26">
      <c r="A261" s="95">
        <v>8</v>
      </c>
      <c r="B261" s="95" t="str">
        <f>Singles!O102</f>
        <v>GONZALEZ 62 62</v>
      </c>
      <c r="C261" s="100" t="str">
        <f>IF(OR(LEFT(B261,LEN(B$9))=B$9,LEFT(B261,LEN(C$9))=C$9,LEN(B261)&lt;2),"","Wrong pick")</f>
        <v/>
      </c>
      <c r="G261" s="95" t="str">
        <f>IF(B261=0,"",IF(LEFT(B261,LEN(B$9))=B$9,B$9,C$9))</f>
        <v>gonzalez</v>
      </c>
      <c r="H261" s="95" t="str">
        <f t="shared" si="149"/>
        <v>2-0</v>
      </c>
      <c r="J261" s="97">
        <f>Singles!H$10</f>
        <v>1</v>
      </c>
      <c r="K261" s="95" t="str">
        <f t="shared" si="150"/>
        <v>PTS</v>
      </c>
      <c r="L261" s="95" t="str">
        <f t="shared" si="151"/>
        <v>62 62</v>
      </c>
      <c r="M261" s="95" t="str">
        <f t="shared" si="152"/>
        <v>62 62</v>
      </c>
      <c r="N261" s="95" t="str">
        <f t="shared" si="153"/>
        <v>62 62</v>
      </c>
      <c r="O261" s="95" t="str">
        <f t="shared" si="154"/>
        <v>62 62</v>
      </c>
      <c r="P261" s="95" t="str">
        <f t="shared" si="155"/>
        <v>62 62</v>
      </c>
      <c r="Q261" s="95">
        <f>IF(AND(G261=T$9,LEN(G261)&gt;1),1,0)</f>
        <v>0</v>
      </c>
      <c r="R261" s="97">
        <f>Singles!D$10</f>
        <v>8</v>
      </c>
      <c r="S261" s="95">
        <f>IF(AND(H261=H$9,LEN(H261)&gt;1,Q261=1),1,0)</f>
        <v>0</v>
      </c>
      <c r="T261" s="95" t="str">
        <f t="shared" si="156"/>
        <v>No</v>
      </c>
      <c r="U261" s="95" t="str">
        <f>IF(T261="Winner",IF(V261&gt;V243,B253,B235),"")</f>
        <v/>
      </c>
      <c r="V261" s="97">
        <f>VLOOKUP(8,X254:Y269,2,0)</f>
        <v>1</v>
      </c>
      <c r="W261" s="95">
        <v>8</v>
      </c>
      <c r="X261" s="95">
        <f t="shared" si="157"/>
        <v>8</v>
      </c>
      <c r="Y261" s="95">
        <f t="shared" si="158"/>
        <v>1</v>
      </c>
      <c r="Z261" s="95">
        <f t="shared" si="159"/>
        <v>0</v>
      </c>
    </row>
    <row r="262" spans="1:26">
      <c r="A262" s="95">
        <v>9</v>
      </c>
      <c r="B262" s="95" t="str">
        <f>Singles!O103</f>
        <v>PEREIRA 63 64</v>
      </c>
      <c r="C262" s="100" t="str">
        <f>IF(OR(LEFT(B262,LEN(B$10))=B$10,LEFT(B262,LEN(C$10))=C$10,LEN(B262)&lt;2),"","Wrong pick")</f>
        <v/>
      </c>
      <c r="G262" s="95" t="str">
        <f>IF(B262=0,"",IF(LEFT(B262,LEN(B$10))=B$10,B$10,C$10))</f>
        <v>pereira</v>
      </c>
      <c r="H262" s="95" t="str">
        <f t="shared" si="149"/>
        <v>2-0</v>
      </c>
      <c r="J262" s="97">
        <f>Singles!H$11</f>
        <v>1</v>
      </c>
      <c r="K262" s="95" t="str">
        <f t="shared" si="150"/>
        <v>PTS</v>
      </c>
      <c r="L262" s="95" t="str">
        <f t="shared" si="151"/>
        <v>63 64</v>
      </c>
      <c r="M262" s="95" t="str">
        <f t="shared" si="152"/>
        <v>63 64</v>
      </c>
      <c r="N262" s="95" t="str">
        <f t="shared" si="153"/>
        <v>63 64</v>
      </c>
      <c r="O262" s="95" t="str">
        <f t="shared" si="154"/>
        <v>63 64</v>
      </c>
      <c r="P262" s="95" t="str">
        <f t="shared" si="155"/>
        <v>63 64</v>
      </c>
      <c r="Q262" s="95">
        <f>IF(AND(G262=T$10,LEN(G262)&gt;1),1,0)</f>
        <v>0</v>
      </c>
      <c r="R262" s="97">
        <f>Singles!D$11</f>
        <v>9</v>
      </c>
      <c r="S262" s="95">
        <f>IF(AND(H262=H$10,LEN(H262)&gt;1,Q262=1),1,0)</f>
        <v>0</v>
      </c>
      <c r="T262" s="95" t="str">
        <f t="shared" si="156"/>
        <v>No</v>
      </c>
      <c r="U262" s="95" t="str">
        <f>IF(T262="Winner",IF(V262&gt;V244,B253,B235),"")</f>
        <v/>
      </c>
      <c r="V262" s="97">
        <f>VLOOKUP(9,X254:Y269,2,0)</f>
        <v>1</v>
      </c>
      <c r="W262" s="95">
        <v>9</v>
      </c>
      <c r="X262" s="95">
        <f t="shared" si="157"/>
        <v>9</v>
      </c>
      <c r="Y262" s="95">
        <f t="shared" si="158"/>
        <v>1</v>
      </c>
      <c r="Z262" s="95">
        <f t="shared" si="159"/>
        <v>0</v>
      </c>
    </row>
    <row r="263" spans="1:26">
      <c r="A263" s="95">
        <v>10</v>
      </c>
      <c r="B263" s="95" t="str">
        <f>Singles!O104</f>
        <v>MATOS 64 64</v>
      </c>
      <c r="C263" s="100" t="str">
        <f>IF(OR(LEFT(B263,LEN(B$11))=B$11,LEFT(B263,LEN(C$11))=C$11,LEN(B263)&lt;2),"","Wrong pick")</f>
        <v/>
      </c>
      <c r="G263" s="95" t="str">
        <f>IF(B263=0,"",IF(LEFT(B263,LEN(B$11))=B$11,B$11,C$11))</f>
        <v>matos</v>
      </c>
      <c r="H263" s="95" t="str">
        <f t="shared" si="149"/>
        <v>2-0</v>
      </c>
      <c r="J263" s="97">
        <f>Singles!H$12</f>
        <v>1</v>
      </c>
      <c r="K263" s="95" t="str">
        <f t="shared" si="150"/>
        <v>PTS</v>
      </c>
      <c r="L263" s="95" t="str">
        <f t="shared" si="151"/>
        <v>64 64</v>
      </c>
      <c r="M263" s="95" t="str">
        <f t="shared" si="152"/>
        <v>64 64</v>
      </c>
      <c r="N263" s="95" t="str">
        <f t="shared" si="153"/>
        <v>64 64</v>
      </c>
      <c r="O263" s="95" t="str">
        <f t="shared" si="154"/>
        <v>64 64</v>
      </c>
      <c r="P263" s="95" t="str">
        <f t="shared" si="155"/>
        <v>64 64</v>
      </c>
      <c r="Q263" s="95">
        <f>IF(AND(G263=T$11,LEN(G263)&gt;1),1,0)</f>
        <v>0</v>
      </c>
      <c r="R263" s="97">
        <f>Singles!D$12</f>
        <v>10</v>
      </c>
      <c r="S263" s="95">
        <f>IF(AND(H263=H$11,LEN(H263)&gt;1,Q263=1),1,0)</f>
        <v>0</v>
      </c>
      <c r="T263" s="95" t="str">
        <f t="shared" si="156"/>
        <v>No</v>
      </c>
      <c r="U263" s="95" t="str">
        <f>IF(T263="Winner",IF(V263&gt;V245,B253,B235),"")</f>
        <v/>
      </c>
      <c r="V263" s="97">
        <f>VLOOKUP(10,X254:Y269,2,0)</f>
        <v>1</v>
      </c>
      <c r="W263" s="95">
        <v>10</v>
      </c>
      <c r="X263" s="95">
        <f t="shared" si="157"/>
        <v>10</v>
      </c>
      <c r="Y263" s="95">
        <f t="shared" si="158"/>
        <v>1</v>
      </c>
      <c r="Z263" s="95">
        <f t="shared" si="159"/>
        <v>0</v>
      </c>
    </row>
    <row r="264" spans="1:26">
      <c r="A264" s="95">
        <v>11</v>
      </c>
      <c r="B264" s="95" t="str">
        <f>Singles!O105</f>
        <v>GINER 64 64</v>
      </c>
      <c r="C264" s="100" t="str">
        <f>IF(OR(LEFT(B264,LEN(B$12))=B$12,LEFT(B264,LEN(C$12))=C$12,LEN(B264)&lt;2),"","Wrong pick")</f>
        <v/>
      </c>
      <c r="G264" s="95" t="str">
        <f>IF(B264=0,"",IF(LEFT(B264,LEN(B$12))=B$12,B$12,C$12))</f>
        <v>giner</v>
      </c>
      <c r="H264" s="95" t="str">
        <f t="shared" si="149"/>
        <v>2-0</v>
      </c>
      <c r="J264" s="97">
        <f>Singles!H$13</f>
        <v>1</v>
      </c>
      <c r="K264" s="95" t="str">
        <f t="shared" si="150"/>
        <v>PTS</v>
      </c>
      <c r="L264" s="95" t="str">
        <f t="shared" si="151"/>
        <v>64 64</v>
      </c>
      <c r="M264" s="95" t="str">
        <f t="shared" si="152"/>
        <v>64 64</v>
      </c>
      <c r="N264" s="95" t="str">
        <f t="shared" si="153"/>
        <v>64 64</v>
      </c>
      <c r="O264" s="95" t="str">
        <f t="shared" si="154"/>
        <v>64 64</v>
      </c>
      <c r="P264" s="95" t="str">
        <f t="shared" si="155"/>
        <v>64 64</v>
      </c>
      <c r="Q264" s="95">
        <f>IF(AND(G264=T$12,LEN(G264)&gt;1),1,0)</f>
        <v>0</v>
      </c>
      <c r="R264" s="97">
        <f>Singles!D$13</f>
        <v>11</v>
      </c>
      <c r="S264" s="95">
        <f>IF(AND(H264=H$12,LEN(H264)&gt;1,Q264=1),1,0)</f>
        <v>0</v>
      </c>
      <c r="T264" s="95" t="str">
        <f t="shared" si="156"/>
        <v>No</v>
      </c>
      <c r="U264" s="95" t="str">
        <f>IF(T264="Winner",IF(V264&gt;V246,B253,B235),"")</f>
        <v/>
      </c>
      <c r="V264" s="97">
        <f>VLOOKUP(11,X254:Y269,2,0)</f>
        <v>1</v>
      </c>
      <c r="W264" s="95">
        <v>11</v>
      </c>
      <c r="X264" s="95">
        <f t="shared" si="157"/>
        <v>11</v>
      </c>
      <c r="Y264" s="95">
        <f t="shared" si="158"/>
        <v>1</v>
      </c>
      <c r="Z264" s="95">
        <f t="shared" si="159"/>
        <v>0</v>
      </c>
    </row>
    <row r="265" spans="1:26">
      <c r="A265" s="95">
        <v>12</v>
      </c>
      <c r="B265" s="95" t="str">
        <f>Singles!O106</f>
        <v>TURINI 64 46 64 </v>
      </c>
      <c r="C265" s="100" t="str">
        <f>IF(OR(LEFT(B265,LEN(B$13))=B$13,LEFT(B265,LEN(C$13))=C$13,LEN(B265)&lt;2),"","Wrong pick")</f>
        <v/>
      </c>
      <c r="G265" s="95" t="str">
        <f>IF(B265=0,"",IF(LEFT(B265,LEN(B$13))=B$13,B$13,C$13))</f>
        <v>turini</v>
      </c>
      <c r="H265" s="95" t="str">
        <f t="shared" si="149"/>
        <v>2-1</v>
      </c>
      <c r="J265" s="97">
        <f>Singles!H$14</f>
        <v>1</v>
      </c>
      <c r="K265" s="95" t="str">
        <f t="shared" si="150"/>
        <v>PTS</v>
      </c>
      <c r="L265" s="95" t="str">
        <f t="shared" si="151"/>
        <v>64 46 64 </v>
      </c>
      <c r="M265" s="95" t="str">
        <f t="shared" si="152"/>
        <v>64 46 64 </v>
      </c>
      <c r="N265" s="95" t="str">
        <f t="shared" si="153"/>
        <v>64 46 64 </v>
      </c>
      <c r="O265" s="95" t="str">
        <f t="shared" si="154"/>
        <v>64 46 64 </v>
      </c>
      <c r="P265" s="95" t="str">
        <f t="shared" si="155"/>
        <v>64 46 64 </v>
      </c>
      <c r="Q265" s="95">
        <f>IF(AND(G265=T$13,LEN(G265)&gt;1),1,0)</f>
        <v>0</v>
      </c>
      <c r="R265" s="97">
        <f>Singles!D$14</f>
        <v>12</v>
      </c>
      <c r="S265" s="95">
        <f>IF(AND(H265=H$13,LEN(H265)&gt;1,Q265=1),1,0)</f>
        <v>0</v>
      </c>
      <c r="T265" s="95" t="str">
        <f t="shared" si="156"/>
        <v>No</v>
      </c>
      <c r="U265" s="95" t="str">
        <f>IF(T265="Winner",IF(V265&gt;V247,B253,B235),"")</f>
        <v/>
      </c>
      <c r="V265" s="97">
        <f>VLOOKUP(12,X254:Y269,2,0)</f>
        <v>2</v>
      </c>
      <c r="W265" s="95">
        <v>12</v>
      </c>
      <c r="X265" s="95">
        <f t="shared" si="157"/>
        <v>12</v>
      </c>
      <c r="Y265" s="95">
        <f t="shared" si="158"/>
        <v>2</v>
      </c>
      <c r="Z265" s="95">
        <f t="shared" si="159"/>
        <v>0</v>
      </c>
    </row>
    <row r="266" spans="1:26">
      <c r="A266" s="95">
        <v>13</v>
      </c>
      <c r="B266" s="95" t="str">
        <f>Singles!O107</f>
        <v>LOBKOV 64 64 </v>
      </c>
      <c r="C266" s="100" t="str">
        <f>IF(OR(LEFT(B266,LEN(B$14))=B$14,LEFT(B266,LEN(C$14))=C$14,LEN(B266)&lt;2),"","Wrong pick")</f>
        <v/>
      </c>
      <c r="G266" s="95" t="str">
        <f>IF(B266=0,"",IF(LEFT(B266,LEN(B$14))=B$14,B$14,C$14))</f>
        <v>lobkov</v>
      </c>
      <c r="H266" s="95" t="str">
        <f t="shared" si="149"/>
        <v>2-0</v>
      </c>
      <c r="J266" s="97">
        <f>Singles!H$15</f>
        <v>1</v>
      </c>
      <c r="K266" s="95" t="str">
        <f t="shared" si="150"/>
        <v>PTS</v>
      </c>
      <c r="L266" s="95" t="str">
        <f t="shared" si="151"/>
        <v>64 64 </v>
      </c>
      <c r="M266" s="95" t="str">
        <f t="shared" si="152"/>
        <v>64 64 </v>
      </c>
      <c r="N266" s="95" t="str">
        <f t="shared" si="153"/>
        <v>64 64 </v>
      </c>
      <c r="O266" s="95" t="str">
        <f t="shared" si="154"/>
        <v>64 64 </v>
      </c>
      <c r="P266" s="95" t="str">
        <f t="shared" si="155"/>
        <v>64 64 </v>
      </c>
      <c r="Q266" s="95">
        <f>IF(AND(G266=T$14,LEN(G266)&gt;1),1,0)</f>
        <v>0</v>
      </c>
      <c r="R266" s="97">
        <f>Singles!D$15</f>
        <v>13</v>
      </c>
      <c r="S266" s="95">
        <f>IF(AND(H266=H$14,LEN(H266)&gt;1,Q266=1),1,0)</f>
        <v>0</v>
      </c>
      <c r="T266" s="95" t="str">
        <f t="shared" si="156"/>
        <v>No</v>
      </c>
      <c r="U266" s="95" t="str">
        <f>IF(T266="Winner",IF(V266&gt;V248,B253,B235),"")</f>
        <v/>
      </c>
      <c r="V266" s="97">
        <f>VLOOKUP(13,X254:Y269,2,0)</f>
        <v>1</v>
      </c>
      <c r="W266" s="95">
        <v>13</v>
      </c>
      <c r="X266" s="95">
        <f t="shared" si="157"/>
        <v>13</v>
      </c>
      <c r="Y266" s="95">
        <f t="shared" si="158"/>
        <v>1</v>
      </c>
      <c r="Z266" s="95">
        <f t="shared" si="159"/>
        <v>0</v>
      </c>
    </row>
    <row r="267" spans="1:26">
      <c r="A267" s="95">
        <v>14</v>
      </c>
      <c r="B267" s="95" t="str">
        <f>Singles!O108</f>
        <v>FLIGIA 64 64</v>
      </c>
      <c r="C267" s="100" t="str">
        <f>IF(OR(LEFT(B267,LEN(B$15))=B$15,LEFT(B267,LEN(C$15))=C$15,LEN(B267)&lt;2),"","Wrong pick")</f>
        <v/>
      </c>
      <c r="G267" s="95" t="str">
        <f>IF(B267=0,"",IF(LEFT(B267,LEN(B$15))=B$15,B$15,C$15))</f>
        <v>Fligia</v>
      </c>
      <c r="H267" s="95" t="str">
        <f t="shared" si="149"/>
        <v>2-0</v>
      </c>
      <c r="J267" s="97">
        <f>Singles!H$16</f>
        <v>1</v>
      </c>
      <c r="K267" s="95" t="str">
        <f t="shared" si="150"/>
        <v>PTS</v>
      </c>
      <c r="L267" s="95" t="str">
        <f t="shared" si="151"/>
        <v>64 64</v>
      </c>
      <c r="M267" s="95" t="str">
        <f t="shared" si="152"/>
        <v>64 64</v>
      </c>
      <c r="N267" s="95" t="str">
        <f t="shared" si="153"/>
        <v>64 64</v>
      </c>
      <c r="O267" s="95" t="str">
        <f t="shared" si="154"/>
        <v>64 64</v>
      </c>
      <c r="P267" s="95" t="str">
        <f t="shared" si="155"/>
        <v>64 64</v>
      </c>
      <c r="Q267" s="95">
        <f>IF(AND(G267=T$15,LEN(G267)&gt;1),1,0)</f>
        <v>0</v>
      </c>
      <c r="R267" s="97">
        <f>Singles!D$16</f>
        <v>14</v>
      </c>
      <c r="S267" s="95">
        <f>IF(AND(H267=H$15,LEN(H267)&gt;1,Q267=1),1,0)</f>
        <v>0</v>
      </c>
      <c r="T267" s="95" t="str">
        <f t="shared" si="156"/>
        <v>Winner</v>
      </c>
      <c r="U267" s="95" t="str">
        <f>IF(T267="Winner",IF(V267&gt;V249,B253,B235),"")</f>
        <v>Southend Aussies</v>
      </c>
      <c r="V267" s="97">
        <f>VLOOKUP(14,X254:Y269,2,0)</f>
        <v>1</v>
      </c>
      <c r="W267" s="95">
        <v>14</v>
      </c>
      <c r="X267" s="95">
        <f t="shared" si="157"/>
        <v>14</v>
      </c>
      <c r="Y267" s="95">
        <f t="shared" si="158"/>
        <v>1</v>
      </c>
      <c r="Z267" s="95">
        <f t="shared" si="159"/>
        <v>0</v>
      </c>
    </row>
    <row r="268" spans="1:26">
      <c r="A268" s="95">
        <v>15</v>
      </c>
      <c r="B268" s="95" t="str">
        <f>Singles!O109</f>
        <v>SANTOS 64 64</v>
      </c>
      <c r="C268" s="100" t="str">
        <f>IF(OR(LEFT(B268,LEN(B$16))=B$16,LEFT(B268,LEN(C$16))=C$16,LEN(B268)&lt;2),"","Wrong pick")</f>
        <v/>
      </c>
      <c r="G268" s="95" t="str">
        <f>IF(B268=0,"",IF(LEFT(B268,LEN(B$16))=B$16,B$16,C$16))</f>
        <v>santos</v>
      </c>
      <c r="H268" s="95" t="str">
        <f t="shared" si="149"/>
        <v>2-0</v>
      </c>
      <c r="J268" s="97">
        <f>Singles!H$17</f>
        <v>1</v>
      </c>
      <c r="K268" s="95" t="str">
        <f t="shared" si="150"/>
        <v>PTS</v>
      </c>
      <c r="L268" s="95" t="str">
        <f t="shared" si="151"/>
        <v>64 64</v>
      </c>
      <c r="M268" s="95" t="str">
        <f t="shared" si="152"/>
        <v>64 64</v>
      </c>
      <c r="N268" s="95" t="str">
        <f t="shared" si="153"/>
        <v>64 64</v>
      </c>
      <c r="O268" s="95" t="str">
        <f t="shared" si="154"/>
        <v>64 64</v>
      </c>
      <c r="P268" s="95" t="str">
        <f t="shared" si="155"/>
        <v>64 64</v>
      </c>
      <c r="Q268" s="95">
        <f>IF(AND(G268=T$16,LEN(G268)&gt;1),1,0)</f>
        <v>0</v>
      </c>
      <c r="R268" s="97">
        <f>Singles!D$17</f>
        <v>15</v>
      </c>
      <c r="S268" s="95">
        <f>IF(AND(H268=H$16,LEN(H268)&gt;1,Q268=1),1,0)</f>
        <v>0</v>
      </c>
      <c r="T268" s="95" t="str">
        <f t="shared" si="156"/>
        <v>No</v>
      </c>
      <c r="U268" s="95" t="str">
        <f>IF(T268="Winner",IF(V268&gt;V250,B253,B235),"")</f>
        <v/>
      </c>
      <c r="V268" s="97">
        <f>VLOOKUP(15,X254:Y269,2,0)</f>
        <v>1</v>
      </c>
      <c r="W268" s="95">
        <v>15</v>
      </c>
      <c r="X268" s="95">
        <f t="shared" si="157"/>
        <v>15</v>
      </c>
      <c r="Y268" s="95">
        <f t="shared" si="158"/>
        <v>1</v>
      </c>
      <c r="Z268" s="95">
        <f t="shared" si="159"/>
        <v>0</v>
      </c>
    </row>
    <row r="269" spans="1:26">
      <c r="A269" s="95">
        <v>16</v>
      </c>
      <c r="B269" s="95" t="str">
        <f>Singles!O110</f>
        <v>LOJDA 64 64</v>
      </c>
      <c r="C269" s="100" t="str">
        <f>IF(OR(LEFT(B269,LEN(B$17))=B$17,LEFT(B269,LEN(C$17))=C$17,LEN(B269)&lt;2),"","Wrong pick")</f>
        <v/>
      </c>
      <c r="G269" s="95" t="str">
        <f>IF(B269=0,"",IF(LEFT(B269,LEN(B$17))=B$17,B$17,C$17))</f>
        <v>lojda</v>
      </c>
      <c r="H269" s="95" t="str">
        <f t="shared" si="149"/>
        <v>2-0</v>
      </c>
      <c r="J269" s="97">
        <f>Singles!H$18</f>
        <v>1</v>
      </c>
      <c r="K269" s="95" t="str">
        <f t="shared" si="150"/>
        <v>PTS</v>
      </c>
      <c r="L269" s="95" t="str">
        <f t="shared" si="151"/>
        <v>64 64</v>
      </c>
      <c r="M269" s="95" t="str">
        <f t="shared" si="152"/>
        <v>64 64</v>
      </c>
      <c r="N269" s="95" t="str">
        <f t="shared" si="153"/>
        <v>64 64</v>
      </c>
      <c r="O269" s="95" t="str">
        <f t="shared" si="154"/>
        <v>64 64</v>
      </c>
      <c r="P269" s="95" t="str">
        <f t="shared" si="155"/>
        <v>64 64</v>
      </c>
      <c r="Q269" s="95">
        <f>IF(AND(G269=T$17,LEN(G269)&gt;1),1,0)</f>
        <v>0</v>
      </c>
      <c r="R269" s="97">
        <f>Singles!D$18</f>
        <v>16</v>
      </c>
      <c r="S269" s="95">
        <f>IF(AND(H269=H$17,LEN(H269)&gt;1,Q269=1),1,0)</f>
        <v>0</v>
      </c>
      <c r="T269" s="95" t="str">
        <f t="shared" si="156"/>
        <v>No</v>
      </c>
      <c r="U269" s="95" t="str">
        <f>IF(T269="Winner",IF(V269&gt;V251,B253,B235),"")</f>
        <v/>
      </c>
      <c r="V269" s="97">
        <f>VLOOKUP(16,X254:Y269,2,0)</f>
        <v>1</v>
      </c>
      <c r="W269" s="95">
        <v>16</v>
      </c>
      <c r="X269" s="95">
        <f t="shared" si="157"/>
        <v>16</v>
      </c>
      <c r="Y269" s="95">
        <f t="shared" si="158"/>
        <v>1</v>
      </c>
      <c r="Z269" s="95">
        <f t="shared" si="159"/>
        <v>0</v>
      </c>
    </row>
    <row r="270" spans="1:26">
      <c r="T270" s="95" t="s">
        <v>89</v>
      </c>
      <c r="U270" s="95" t="s">
        <v>125</v>
      </c>
      <c r="W270" s="95">
        <v>17</v>
      </c>
    </row>
    <row r="271" spans="1:26">
      <c r="A271" s="95" t="str">
        <f>IF(LEN(VLOOKUP(B271,Singles!$A$2:$B$33,2,0))&gt;0,VLOOKUP(B271,Singles!$A$2:$B$33,2,0),"")</f>
        <v/>
      </c>
      <c r="B271" s="96" t="str">
        <f>Singles!P94</f>
        <v>Exco</v>
      </c>
      <c r="C271" s="96">
        <v>15</v>
      </c>
      <c r="D271" s="95" t="str">
        <f>VLOOKUP(B271,Singles!$A$2:$C$33,3,0)</f>
        <v>CHN</v>
      </c>
      <c r="J271" s="95" t="s">
        <v>88</v>
      </c>
      <c r="Q271" s="95" t="s">
        <v>121</v>
      </c>
      <c r="S271" s="95" t="s">
        <v>122</v>
      </c>
      <c r="T271" s="95" t="str">
        <f>IF(LEN(A271)&gt;0,"("&amp;A271&amp;") "&amp;B271,B271)&amp;IF(LEN(D271)&gt;1," ("&amp;D271&amp;")","")</f>
        <v>Exco (CHN)</v>
      </c>
      <c r="V271" s="95" t="s">
        <v>123</v>
      </c>
      <c r="Y271" s="95" t="s">
        <v>123</v>
      </c>
    </row>
    <row r="272" spans="1:26">
      <c r="A272" s="95">
        <v>1</v>
      </c>
      <c r="B272" s="95">
        <f>Singles!P95</f>
        <v>0</v>
      </c>
      <c r="C272" s="99" t="str">
        <f>IF(OR(LEFT(B272,LEN(B$2))=B$2,LEFT(B272,LEN(C$2))=C$2,LEN(B272)&lt;2),"","Wrong pick")</f>
        <v/>
      </c>
      <c r="D272" s="95">
        <f t="shared" ref="D272:D287" ca="1" si="160">IF(OR(G272=G290,INDIRECT(ADDRESS(A272+1,6,1))&gt;0),0,1)</f>
        <v>1</v>
      </c>
      <c r="E272" s="95" t="str">
        <f ca="1">IF(AND(D272=1,J272=$I$2),G272&amp;", ","")&amp;IF(AND(D273=1,J273=$I$2),G273&amp;", ","")&amp;IF(AND(D274=1,J274=$I$2),G274&amp;", ","")&amp;IF(AND(D275=1,J275=$I$2),G275&amp;", ","")&amp;IF(AND(D276=1,J276=$I$2),G276&amp;", ","")&amp;IF(AND(D277=1,J277=$I$2),G277&amp;", ","")&amp;IF(AND(D278=1,J278=$I$2),G278&amp;", ","")&amp;IF(AND(D279=1,J279=$I$2),G279&amp;", ","")&amp;IF(AND(D280=1,J280=$I$2),G280&amp;", ","")&amp;IF(AND(D281=1,J281=$I$2),G281&amp;", ","")&amp;IF(AND(D282=1,J282=$I$2),G282&amp;", ","")&amp;IF(AND(D283=1,J283=$I$2),G283&amp;", ","")&amp;IF(AND(D284=1,J284=$I$2),G284&amp;", ","")&amp;IF(AND(D285=1,J285=$I$2),G285&amp;", ","")&amp;IF(AND(D286=1,J286=$I$2),G286&amp;", ","")&amp;IF(AND(D287=1,J287=$I$2),G287&amp;", ","")</f>
        <v xml:space="preserve">, , , , , , , , , , , , , , , , </v>
      </c>
      <c r="F272" s="95" t="str">
        <f>IF(AND(SUM(Z272:Z287)=$I$4,NOT(B271="Bye")),"Missing picks from "&amp;B271&amp;" ","")</f>
        <v xml:space="preserve">Missing picks from Exco </v>
      </c>
      <c r="G272" s="95" t="str">
        <f>IF(B272=0,"",IF(LEFT(B272,LEN(B$2))=B$2,B$2,C$2))</f>
        <v/>
      </c>
      <c r="H272" s="95" t="str">
        <f t="shared" ref="H272:H287" si="161">IF(L272="","",IF(K272="PTS",IF(LEN(O272)&lt;8,"2-0","2-1"),LEFT(O272,1)&amp;"-"&amp;RIGHT(O272,1)))</f>
        <v>0-0</v>
      </c>
      <c r="I272" s="95" t="str">
        <f ca="1">IF(AND(J272=Singles!$H$21,INDIRECT(ADDRESS(A272+1,6,1))=0,NOT(INDIRECT(ADDRESS(A272+1,5,1))="")),IF(D272=0,IF(H272=H290,"",G272&amp;" "&amp;H272&amp;" v "&amp;H290&amp;", "),G272&amp;" "&amp;H272&amp;" vs. "&amp;G290&amp;" "&amp;H290&amp;", "),"")</f>
        <v xml:space="preserve"> 0-0 vs. Travaglia 2-1, </v>
      </c>
      <c r="J272" s="97">
        <f>Singles!H$3</f>
        <v>1</v>
      </c>
      <c r="K272" s="95" t="str">
        <f t="shared" ref="K272:K287" si="162">IF(LEN(L272)&gt;0,IF(LEN(O272)&lt;4,"SR","PTS"),"")</f>
        <v>SR</v>
      </c>
      <c r="L272" s="95" t="str">
        <f t="shared" ref="L272:L287" si="163">TRIM(RIGHT(B272,LEN(B272)-LEN(G272)))</f>
        <v>0</v>
      </c>
      <c r="M272" s="95" t="str">
        <f t="shared" ref="M272:M287" si="164">SUBSTITUTE(L272,"-","")</f>
        <v>0</v>
      </c>
      <c r="N272" s="95" t="str">
        <f t="shared" ref="N272:N287" si="165">SUBSTITUTE(M272,","," ")</f>
        <v>0</v>
      </c>
      <c r="O272" s="95" t="str">
        <f t="shared" ref="O272:O287" si="166">IF(AND(LEN(TRIM(SUBSTITUTE(P272,"/","")))&gt;6,OR(LEFT(TRIM(SUBSTITUTE(P272,"/","")),2)="20",LEFT(TRIM(SUBSTITUTE(P272,"/","")),2)="21")),RIGHT(TRIM(SUBSTITUTE(P272,"/","")),LEN(TRIM(SUBSTITUTE(P272,"/","")))-3),TRIM(SUBSTITUTE(P272,"/","")))</f>
        <v>0</v>
      </c>
      <c r="P272" s="95" t="str">
        <f t="shared" ref="P272:P287" si="167">SUBSTITUTE(N272,":","")</f>
        <v>0</v>
      </c>
      <c r="Q272" s="95">
        <f>IF(AND(G272=T$2,LEN(G272)&gt;1),1,0)</f>
        <v>0</v>
      </c>
      <c r="R272" s="97">
        <f>Singles!D$3</f>
        <v>1</v>
      </c>
      <c r="S272" s="95">
        <f>IF(AND(H272=H$2,LEN(H272)&gt;1,Q272=1),1,0)</f>
        <v>0</v>
      </c>
      <c r="T272" s="95" t="str">
        <f ca="1">" SR Differences: "&amp;IF(LEN(I272&amp;I273&amp;I274&amp;I275&amp;I276&amp;I277&amp;I278&amp;I279&amp;I280&amp;I281&amp;I282&amp;I283&amp;I284&amp;I285&amp;I286&amp;I287)&lt;3,"None..",I272&amp;I273&amp;I274&amp;I275&amp;I276&amp;I277&amp;I278&amp;I279&amp;I280&amp;I281&amp;I282&amp;I283&amp;I284&amp;I285&amp;I286&amp;I287)</f>
        <v xml:space="preserve"> SR Differences:  0-0 vs. Travaglia 2-1,  0-0 vs. Machado 2-0,  0-0 vs. Junqueira 2-0,  0-0 vs. Gaio 2-0,  0-0 vs. PODLIPBIK-CASTILLO 2-0,  0-0 vs. Duran 2-1,  0-0 vs. Michon 2-0,  0-0 vs. gonzalez 2-0,  0-0 vs. pereira 2-0,  0-0 vs. collinari 2-0,  0-0 vs. giner 2-0,  0-0 vs. galdon 2-0,  0-0 vs. lobkov 2-0,  0-0 vs. santos 2-0,  0-0 vs. santos 2-0,  0-0 vs. lojda 2-0, </v>
      </c>
      <c r="V272" s="97">
        <f>VLOOKUP(1,X272:Y287,2,0)</f>
        <v>1</v>
      </c>
      <c r="X272" s="95">
        <f t="shared" ref="X272:X287" si="168">R272</f>
        <v>1</v>
      </c>
      <c r="Y272" s="95">
        <f t="shared" ref="Y272:Y287" si="169">IF(Q272=1,IF(S272=1,4,3),IF(H272="2-1",2,1))</f>
        <v>1</v>
      </c>
      <c r="Z272" s="95">
        <f t="shared" ref="Z272:Z287" si="170">IF(AND($I$2=J272,B272=0),1,0)</f>
        <v>1</v>
      </c>
    </row>
    <row r="273" spans="1:26">
      <c r="A273" s="95">
        <v>2</v>
      </c>
      <c r="B273" s="95">
        <f>Singles!P96</f>
        <v>0</v>
      </c>
      <c r="C273" s="100" t="str">
        <f>IF(OR(LEFT(B273,LEN(B$3))=B$3,LEFT(B273,LEN(C$3))=C$3,LEN(B273)&lt;2),"","Wrong pick")</f>
        <v/>
      </c>
      <c r="D273" s="95">
        <f t="shared" ca="1" si="160"/>
        <v>1</v>
      </c>
      <c r="G273" s="95" t="str">
        <f>IF(B273=0,"",IF(LEFT(B273,LEN(B$3))=B$3,B$3,C$3))</f>
        <v/>
      </c>
      <c r="H273" s="95" t="str">
        <f t="shared" si="161"/>
        <v>0-0</v>
      </c>
      <c r="I273" s="95" t="str">
        <f ca="1">IF(AND(J273=Singles!$H$21,INDIRECT(ADDRESS(A273+1,6,1))=0,NOT(INDIRECT(ADDRESS(A273+1,5,1))="")),IF(D273=0,IF(H273=H291,"",G273&amp;" "&amp;H273&amp;" v "&amp;H291&amp;", "),G273&amp;" "&amp;H273&amp;" vs. "&amp;G291&amp;" "&amp;H291&amp;", "),"")</f>
        <v xml:space="preserve"> 0-0 vs. Machado 2-0, </v>
      </c>
      <c r="J273" s="97">
        <f>Singles!H$4</f>
        <v>1</v>
      </c>
      <c r="K273" s="95" t="str">
        <f t="shared" si="162"/>
        <v>SR</v>
      </c>
      <c r="L273" s="95" t="str">
        <f t="shared" si="163"/>
        <v>0</v>
      </c>
      <c r="M273" s="95" t="str">
        <f t="shared" si="164"/>
        <v>0</v>
      </c>
      <c r="N273" s="95" t="str">
        <f t="shared" si="165"/>
        <v>0</v>
      </c>
      <c r="O273" s="95" t="str">
        <f t="shared" si="166"/>
        <v>0</v>
      </c>
      <c r="P273" s="95" t="str">
        <f t="shared" si="167"/>
        <v>0</v>
      </c>
      <c r="Q273" s="95">
        <f>IF(AND(G273=T$3,LEN(G273)&gt;1),1,0)</f>
        <v>0</v>
      </c>
      <c r="R273" s="97">
        <f>Singles!D$4</f>
        <v>2</v>
      </c>
      <c r="S273" s="95">
        <f>IF(AND(H273=H$3,LEN(H273)&gt;1,Q273=1),1,0)</f>
        <v>0</v>
      </c>
      <c r="T273" s="95" t="str">
        <f ca="1">IF(T274&gt;0,LEFT(E272,LEN(E272)-2)&amp;" vs. "&amp;LEFT(E290,LEN(E290)-2),IF(SUMIF(Singles!$H$3:$H$18,"="&amp;Singles!$H$21,Singles!$I$3:$I$18)=0,"Same winners;",""))</f>
        <v>, , , , , , , , , , , , , , ,  vs. Travaglia, Machado, Junqueira, Gaio, PODLIPBIK-CASTILLO, Duran, Michon, gonzalez, pereira, collinari, giner, galdon, lobkov, santos, santos, lojda</v>
      </c>
      <c r="V273" s="97">
        <f>VLOOKUP(2,X272:Y287,2,0)</f>
        <v>1</v>
      </c>
      <c r="X273" s="95">
        <f t="shared" si="168"/>
        <v>2</v>
      </c>
      <c r="Y273" s="95">
        <f t="shared" si="169"/>
        <v>1</v>
      </c>
      <c r="Z273" s="95">
        <f t="shared" si="170"/>
        <v>1</v>
      </c>
    </row>
    <row r="274" spans="1:26">
      <c r="A274" s="95">
        <v>3</v>
      </c>
      <c r="B274" s="95">
        <f>Singles!P97</f>
        <v>0</v>
      </c>
      <c r="C274" s="100" t="str">
        <f>IF(OR(LEFT(B274,LEN(B$4))=B$4,LEFT(B274,LEN(C$4))=C$4,LEN(B274)&lt;2),"","Wrong pick")</f>
        <v/>
      </c>
      <c r="D274" s="95">
        <f t="shared" ca="1" si="160"/>
        <v>1</v>
      </c>
      <c r="G274" s="95" t="str">
        <f>IF(B274=0,"",IF(LEFT(B274,LEN(B$4))=B$4,B$4,C$4))</f>
        <v/>
      </c>
      <c r="H274" s="95" t="str">
        <f t="shared" si="161"/>
        <v>0-0</v>
      </c>
      <c r="I274" s="95" t="str">
        <f ca="1">IF(AND(J274=Singles!$H$21,INDIRECT(ADDRESS(A274+1,6,1))=0,NOT(INDIRECT(ADDRESS(A274+1,5,1))="")),IF(D274=0,IF(H274=H292,"",G274&amp;" "&amp;H274&amp;" v "&amp;H292&amp;", "),G274&amp;" "&amp;H274&amp;" vs. "&amp;G292&amp;" "&amp;H292&amp;", "),"")</f>
        <v xml:space="preserve"> 0-0 vs. Junqueira 2-0, </v>
      </c>
      <c r="J274" s="97">
        <f>Singles!H$5</f>
        <v>1</v>
      </c>
      <c r="K274" s="95" t="str">
        <f t="shared" si="162"/>
        <v>SR</v>
      </c>
      <c r="L274" s="95" t="str">
        <f t="shared" si="163"/>
        <v>0</v>
      </c>
      <c r="M274" s="95" t="str">
        <f t="shared" si="164"/>
        <v>0</v>
      </c>
      <c r="N274" s="95" t="str">
        <f t="shared" si="165"/>
        <v>0</v>
      </c>
      <c r="O274" s="95" t="str">
        <f t="shared" si="166"/>
        <v>0</v>
      </c>
      <c r="P274" s="95" t="str">
        <f t="shared" si="167"/>
        <v>0</v>
      </c>
      <c r="Q274" s="95">
        <f>IF(AND(G274=T$4,LEN(G274)&gt;1),1,0)</f>
        <v>0</v>
      </c>
      <c r="R274" s="97">
        <f>Singles!D$5</f>
        <v>3</v>
      </c>
      <c r="S274" s="95">
        <f>IF(AND(H274=H$4,LEN(H274)&gt;1,Q274=1),1,0)</f>
        <v>0</v>
      </c>
      <c r="T274" s="101">
        <f ca="1">SUMIF(J272:J287,$I$2,D272:D287)</f>
        <v>16</v>
      </c>
      <c r="V274" s="97">
        <f>VLOOKUP(3,X272:Y287,2,0)</f>
        <v>1</v>
      </c>
      <c r="X274" s="95">
        <f t="shared" si="168"/>
        <v>3</v>
      </c>
      <c r="Y274" s="95">
        <f t="shared" si="169"/>
        <v>1</v>
      </c>
      <c r="Z274" s="95">
        <f t="shared" si="170"/>
        <v>1</v>
      </c>
    </row>
    <row r="275" spans="1:26">
      <c r="A275" s="95">
        <v>4</v>
      </c>
      <c r="B275" s="95">
        <f>Singles!P98</f>
        <v>0</v>
      </c>
      <c r="C275" s="100" t="str">
        <f>IF(OR(LEFT(B275,LEN(B$5))=B$5,LEFT(B275,LEN(C$5))=C$5,LEN(B275)&lt;2),"","Wrong pick")</f>
        <v/>
      </c>
      <c r="D275" s="95">
        <f t="shared" ca="1" si="160"/>
        <v>1</v>
      </c>
      <c r="G275" s="95" t="str">
        <f>IF(B275=0,"",IF(LEFT(B275,LEN(B$5))=B$5,B$5,C$5))</f>
        <v/>
      </c>
      <c r="H275" s="95" t="str">
        <f t="shared" si="161"/>
        <v>0-0</v>
      </c>
      <c r="I275" s="95" t="str">
        <f ca="1">IF(AND(J275=Singles!$H$21,INDIRECT(ADDRESS(A275+1,6,1))=0,NOT(INDIRECT(ADDRESS(A275+1,5,1))="")),IF(D275=0,IF(H275=H293,"",G275&amp;" "&amp;H275&amp;" v "&amp;H293&amp;", "),G275&amp;" "&amp;H275&amp;" vs. "&amp;G293&amp;" "&amp;H293&amp;", "),"")</f>
        <v xml:space="preserve"> 0-0 vs. Gaio 2-0, </v>
      </c>
      <c r="J275" s="97">
        <f>Singles!H$6</f>
        <v>1</v>
      </c>
      <c r="K275" s="95" t="str">
        <f t="shared" si="162"/>
        <v>SR</v>
      </c>
      <c r="L275" s="95" t="str">
        <f t="shared" si="163"/>
        <v>0</v>
      </c>
      <c r="M275" s="95" t="str">
        <f t="shared" si="164"/>
        <v>0</v>
      </c>
      <c r="N275" s="95" t="str">
        <f t="shared" si="165"/>
        <v>0</v>
      </c>
      <c r="O275" s="95" t="str">
        <f t="shared" si="166"/>
        <v>0</v>
      </c>
      <c r="P275" s="95" t="str">
        <f t="shared" si="167"/>
        <v>0</v>
      </c>
      <c r="Q275" s="95">
        <f>IF(AND(G275=T$5,LEN(G275)&gt;1),1,0)</f>
        <v>0</v>
      </c>
      <c r="R275" s="97">
        <f>Singles!D$6</f>
        <v>4</v>
      </c>
      <c r="S275" s="95">
        <f>IF(AND(H275=H$5,LEN(H275)&gt;1,Q275=1),1,0)</f>
        <v>0</v>
      </c>
      <c r="T275" s="102" t="str">
        <f>IF(T277&lt;10,"0","")&amp;T277&amp;":"&amp;IF(T278&lt;10,"0","")&amp;T278&amp;" | [b]"&amp;IF(LEN(U275)&gt;0,U275,T271&amp;"[/b] vs. [b]"&amp;T289&amp;"[/b]"&amp;IF(Singles!$H$21&gt;1," (SR "&amp;U277&amp;":"&amp;U278&amp;")","")&amp;" - "&amp;IF(COUNTIF(C272:C305,"=Wrong Pick")&gt;0,"Incorrect pick, probably a spelling mistake",IF(AND(F272="",F290=""),T273&amp;IF(AND(OR(AND(Singles!$H$20&gt;1,Singles!$H$21&lt;Singles!$H$20),MOD(T274+T277+T278,2)=0),NOT(Singles!$H$23="No")),LEFT(T272,LEN(T272)-2),""),F272&amp;F290)))</f>
        <v xml:space="preserve">00:00 | [b]Exco (CHN)[/b] vs. [b](5) theKSHE (POR)[/b] - Missing picks from Exco </v>
      </c>
      <c r="U275" s="95" t="str">
        <f>IF(B271="Bye","Bye[/b] vs. [b][color=blue]"&amp;T289&amp;"[/color][/b]",IF(B289="Bye","[color=blue]"&amp;T271&amp;"[/color][/b] vs. [b]Bye[/b]",""))</f>
        <v/>
      </c>
      <c r="V275" s="97">
        <f>VLOOKUP(4,X272:Y287,2,0)</f>
        <v>1</v>
      </c>
      <c r="X275" s="95">
        <f t="shared" si="168"/>
        <v>4</v>
      </c>
      <c r="Y275" s="95">
        <f t="shared" si="169"/>
        <v>1</v>
      </c>
      <c r="Z275" s="95">
        <f t="shared" si="170"/>
        <v>1</v>
      </c>
    </row>
    <row r="276" spans="1:26">
      <c r="A276" s="95">
        <v>5</v>
      </c>
      <c r="B276" s="95">
        <f>Singles!P99</f>
        <v>0</v>
      </c>
      <c r="C276" s="100" t="str">
        <f>IF(OR(LEFT(B276,LEN(B$6))=B$6,LEFT(B276,LEN(C$6))=C$6,LEN(B276)&lt;2),"","Wrong pick")</f>
        <v/>
      </c>
      <c r="D276" s="95">
        <f t="shared" ca="1" si="160"/>
        <v>1</v>
      </c>
      <c r="G276" s="95" t="str">
        <f>IF(B276=0,"",IF(LEFT(B276,LEN(B$6))=B$6,B$6,C$6))</f>
        <v/>
      </c>
      <c r="H276" s="95" t="str">
        <f t="shared" si="161"/>
        <v>0-0</v>
      </c>
      <c r="I276" s="95" t="str">
        <f ca="1">IF(AND(J276=Singles!$H$21,INDIRECT(ADDRESS(A276+1,6,1))=0,NOT(INDIRECT(ADDRESS(A276+1,5,1))="")),IF(D276=0,IF(H276=H294,"",G276&amp;" "&amp;H276&amp;" v "&amp;H294&amp;", "),G276&amp;" "&amp;H276&amp;" vs. "&amp;G294&amp;" "&amp;H294&amp;", "),"")</f>
        <v xml:space="preserve"> 0-0 vs. PODLIPBIK-CASTILLO 2-0, </v>
      </c>
      <c r="J276" s="97">
        <f>Singles!H$7</f>
        <v>1</v>
      </c>
      <c r="K276" s="95" t="str">
        <f t="shared" si="162"/>
        <v>SR</v>
      </c>
      <c r="L276" s="95" t="str">
        <f t="shared" si="163"/>
        <v>0</v>
      </c>
      <c r="M276" s="95" t="str">
        <f t="shared" si="164"/>
        <v>0</v>
      </c>
      <c r="N276" s="95" t="str">
        <f t="shared" si="165"/>
        <v>0</v>
      </c>
      <c r="O276" s="95" t="str">
        <f t="shared" si="166"/>
        <v>0</v>
      </c>
      <c r="P276" s="95" t="str">
        <f t="shared" si="167"/>
        <v>0</v>
      </c>
      <c r="Q276" s="95">
        <f>IF(AND(G276=T$6,LEN(G276)&gt;1),1,0)</f>
        <v>0</v>
      </c>
      <c r="R276" s="97">
        <f>Singles!D$7</f>
        <v>5</v>
      </c>
      <c r="S276" s="95">
        <f>IF(AND(H276=H$6,LEN(H276)&gt;1,Q276=1),1,0)</f>
        <v>0</v>
      </c>
      <c r="T276" s="103" t="str">
        <f>IF(Singles!$H$22=$F$18,IF(T277&gt;T278,B271,IF(T277&lt;T278,B289,IF(U277&gt;U278,B271,IF(U277&lt;U278,B289,T280)))),"No decision yet")</f>
        <v>No decision yet</v>
      </c>
      <c r="U276" s="104" t="str">
        <f>IF(T277&lt;10,"0","")&amp;T277&amp;":"&amp;IF(T278&lt;10,"0","")&amp;T278&amp;" | "&amp;IF(AND(A271&gt;0,A271&lt;33,B271=T276),"[b][color=Blue]"&amp;T271&amp;"[/color][/b]",IF(B271=T276,"[color=Blue]"&amp;T271&amp;"[/color]",IF(AND(A271&gt;0,A271&lt;33),"[b]"&amp;T271&amp;"[/b]",T271)))&amp;" vs. "&amp;IF(AND(A289&gt;0,A289&lt;33,B289=T276),"[b][color=Blue]"&amp;T289&amp;"[/color][/b]",IF(B289=T276,"[color=Blue]"&amp;T289&amp;"[/color]",IF(AND(A289&gt;0,A289&lt;33),"[b]"&amp;T289&amp;"[/b]",T289)))&amp;IF(OR(Singles!$B$40="yes",T277=T278)," #SRs: "&amp;U277&amp;"-"&amp;U278,"")&amp;IF(AND(T277=T278,U277=U278,U280&lt;17,Singles!$H$22=$F$18),", Shootout: SR"&amp;U280,"")</f>
        <v>00:00 | Exco (CHN) vs. [b](5) theKSHE (POR)[/b] #SRs: 0-0</v>
      </c>
      <c r="V276" s="97">
        <f>VLOOKUP(5,X272:Y287,2,0)</f>
        <v>1</v>
      </c>
      <c r="X276" s="95">
        <f t="shared" si="168"/>
        <v>5</v>
      </c>
      <c r="Y276" s="95">
        <f t="shared" si="169"/>
        <v>1</v>
      </c>
      <c r="Z276" s="95">
        <f t="shared" si="170"/>
        <v>1</v>
      </c>
    </row>
    <row r="277" spans="1:26">
      <c r="A277" s="95">
        <v>6</v>
      </c>
      <c r="B277" s="95">
        <f>Singles!P100</f>
        <v>0</v>
      </c>
      <c r="C277" s="100" t="str">
        <f>IF(OR(LEFT(B277,LEN(B$7))=B$7,LEFT(B277,LEN(C$7))=C$7,LEN(B277)&lt;2),"","Wrong pick")</f>
        <v/>
      </c>
      <c r="D277" s="95">
        <f t="shared" ca="1" si="160"/>
        <v>1</v>
      </c>
      <c r="G277" s="95" t="str">
        <f>IF(B277=0,"",IF(LEFT(B277,LEN(B$7))=B$7,B$7,C$7))</f>
        <v/>
      </c>
      <c r="H277" s="95" t="str">
        <f t="shared" si="161"/>
        <v>0-0</v>
      </c>
      <c r="I277" s="95" t="str">
        <f ca="1">IF(AND(J277=Singles!$H$21,INDIRECT(ADDRESS(A277+1,6,1))=0,NOT(INDIRECT(ADDRESS(A277+1,5,1))="")),IF(D277=0,IF(H277=H295,"",G277&amp;" "&amp;H277&amp;" v "&amp;H295&amp;", "),G277&amp;" "&amp;H277&amp;" vs. "&amp;G295&amp;" "&amp;H295&amp;", "),"")</f>
        <v xml:space="preserve"> 0-0 vs. Duran 2-1, </v>
      </c>
      <c r="J277" s="97">
        <f>Singles!H$8</f>
        <v>1</v>
      </c>
      <c r="K277" s="95" t="str">
        <f t="shared" si="162"/>
        <v>SR</v>
      </c>
      <c r="L277" s="95" t="str">
        <f t="shared" si="163"/>
        <v>0</v>
      </c>
      <c r="M277" s="95" t="str">
        <f t="shared" si="164"/>
        <v>0</v>
      </c>
      <c r="N277" s="95" t="str">
        <f t="shared" si="165"/>
        <v>0</v>
      </c>
      <c r="O277" s="95" t="str">
        <f t="shared" si="166"/>
        <v>0</v>
      </c>
      <c r="P277" s="95" t="str">
        <f t="shared" si="167"/>
        <v>0</v>
      </c>
      <c r="Q277" s="95">
        <f>IF(AND(G277=T$7,LEN(G277)&gt;1),1,0)</f>
        <v>0</v>
      </c>
      <c r="R277" s="97">
        <f>Singles!D$8</f>
        <v>6</v>
      </c>
      <c r="S277" s="95">
        <f>IF(AND(H277=H$7,LEN(H277)&gt;1,Q277=1),1,0)</f>
        <v>0</v>
      </c>
      <c r="T277" s="105">
        <f>SUM(Q272:Q287)</f>
        <v>0</v>
      </c>
      <c r="U277" s="97">
        <f>SUM(S272:S287)</f>
        <v>0</v>
      </c>
      <c r="V277" s="97">
        <f>VLOOKUP(6,X272:Y287,2,0)</f>
        <v>1</v>
      </c>
      <c r="X277" s="95">
        <f t="shared" si="168"/>
        <v>6</v>
      </c>
      <c r="Y277" s="95">
        <f t="shared" si="169"/>
        <v>1</v>
      </c>
      <c r="Z277" s="95">
        <f t="shared" si="170"/>
        <v>1</v>
      </c>
    </row>
    <row r="278" spans="1:26">
      <c r="A278" s="95">
        <v>7</v>
      </c>
      <c r="B278" s="95">
        <f>Singles!P101</f>
        <v>0</v>
      </c>
      <c r="C278" s="100" t="str">
        <f>IF(OR(LEFT(B278,LEN(B$8))=B$8,LEFT(B278,LEN(C$8))=C$8,LEN(B278)&lt;2),"","Wrong pick")</f>
        <v/>
      </c>
      <c r="D278" s="95">
        <f t="shared" ca="1" si="160"/>
        <v>1</v>
      </c>
      <c r="G278" s="95" t="str">
        <f>IF(B278=0,"",IF(LEFT(B278,LEN(B$8))=B$8,B$8,C$8))</f>
        <v/>
      </c>
      <c r="H278" s="95" t="str">
        <f t="shared" si="161"/>
        <v>0-0</v>
      </c>
      <c r="I278" s="95" t="str">
        <f ca="1">IF(AND(J278=Singles!$H$21,INDIRECT(ADDRESS(A278+1,6,1))=0,NOT(INDIRECT(ADDRESS(A278+1,5,1))="")),IF(D278=0,IF(H278=H296,"",G278&amp;" "&amp;H278&amp;" v "&amp;H296&amp;", "),G278&amp;" "&amp;H278&amp;" vs. "&amp;G296&amp;" "&amp;H296&amp;", "),"")</f>
        <v xml:space="preserve"> 0-0 vs. Michon 2-0, </v>
      </c>
      <c r="J278" s="97">
        <f>Singles!H$9</f>
        <v>1</v>
      </c>
      <c r="K278" s="95" t="str">
        <f t="shared" si="162"/>
        <v>SR</v>
      </c>
      <c r="L278" s="95" t="str">
        <f t="shared" si="163"/>
        <v>0</v>
      </c>
      <c r="M278" s="95" t="str">
        <f t="shared" si="164"/>
        <v>0</v>
      </c>
      <c r="N278" s="95" t="str">
        <f t="shared" si="165"/>
        <v>0</v>
      </c>
      <c r="O278" s="95" t="str">
        <f t="shared" si="166"/>
        <v>0</v>
      </c>
      <c r="P278" s="95" t="str">
        <f t="shared" si="167"/>
        <v>0</v>
      </c>
      <c r="Q278" s="95">
        <f>IF(AND(G278=T$8,LEN(G278)&gt;1),1,0)</f>
        <v>0</v>
      </c>
      <c r="R278" s="97">
        <f>Singles!D$9</f>
        <v>7</v>
      </c>
      <c r="S278" s="95">
        <f>IF(AND(H278=H$8,LEN(H278)&gt;1,Q278=1),1,0)</f>
        <v>0</v>
      </c>
      <c r="T278" s="105">
        <f>SUM(Q290:Q305)</f>
        <v>0</v>
      </c>
      <c r="U278" s="97">
        <f>SUM(S290:S305)</f>
        <v>0</v>
      </c>
      <c r="V278" s="97">
        <f>VLOOKUP(7,X272:Y287,2,0)</f>
        <v>1</v>
      </c>
      <c r="X278" s="95">
        <f t="shared" si="168"/>
        <v>7</v>
      </c>
      <c r="Y278" s="95">
        <f t="shared" si="169"/>
        <v>1</v>
      </c>
      <c r="Z278" s="95">
        <f t="shared" si="170"/>
        <v>1</v>
      </c>
    </row>
    <row r="279" spans="1:26">
      <c r="A279" s="95">
        <v>8</v>
      </c>
      <c r="B279" s="95">
        <f>Singles!P102</f>
        <v>0</v>
      </c>
      <c r="C279" s="100" t="str">
        <f>IF(OR(LEFT(B279,LEN(B$9))=B$9,LEFT(B279,LEN(C$9))=C$9,LEN(B279)&lt;2),"","Wrong pick")</f>
        <v/>
      </c>
      <c r="D279" s="95">
        <f t="shared" ca="1" si="160"/>
        <v>1</v>
      </c>
      <c r="G279" s="95" t="str">
        <f>IF(B279=0,"",IF(LEFT(B279,LEN(B$9))=B$9,B$9,C$9))</f>
        <v/>
      </c>
      <c r="H279" s="95" t="str">
        <f t="shared" si="161"/>
        <v>0-0</v>
      </c>
      <c r="I279" s="95" t="str">
        <f ca="1">IF(AND(J279=Singles!$H$21,INDIRECT(ADDRESS(A279+1,6,1))=0,NOT(INDIRECT(ADDRESS(A279+1,5,1))="")),IF(D279=0,IF(H279=H297,"",G279&amp;" "&amp;H279&amp;" v "&amp;H297&amp;", "),G279&amp;" "&amp;H279&amp;" vs. "&amp;G297&amp;" "&amp;H297&amp;", "),"")</f>
        <v xml:space="preserve"> 0-0 vs. gonzalez 2-0, </v>
      </c>
      <c r="J279" s="97">
        <f>Singles!H$10</f>
        <v>1</v>
      </c>
      <c r="K279" s="95" t="str">
        <f t="shared" si="162"/>
        <v>SR</v>
      </c>
      <c r="L279" s="95" t="str">
        <f t="shared" si="163"/>
        <v>0</v>
      </c>
      <c r="M279" s="95" t="str">
        <f t="shared" si="164"/>
        <v>0</v>
      </c>
      <c r="N279" s="95" t="str">
        <f t="shared" si="165"/>
        <v>0</v>
      </c>
      <c r="O279" s="95" t="str">
        <f t="shared" si="166"/>
        <v>0</v>
      </c>
      <c r="P279" s="95" t="str">
        <f t="shared" si="167"/>
        <v>0</v>
      </c>
      <c r="Q279" s="95">
        <f>IF(AND(G279=T$9,LEN(G279)&gt;1),1,0)</f>
        <v>0</v>
      </c>
      <c r="R279" s="97">
        <f>Singles!D$10</f>
        <v>8</v>
      </c>
      <c r="S279" s="95">
        <f>IF(AND(H279=H$9,LEN(H279)&gt;1,Q279=1),1,0)</f>
        <v>0</v>
      </c>
      <c r="V279" s="97">
        <f>VLOOKUP(8,X272:Y287,2,0)</f>
        <v>1</v>
      </c>
      <c r="X279" s="95">
        <f t="shared" si="168"/>
        <v>8</v>
      </c>
      <c r="Y279" s="95">
        <f t="shared" si="169"/>
        <v>1</v>
      </c>
      <c r="Z279" s="95">
        <f t="shared" si="170"/>
        <v>1</v>
      </c>
    </row>
    <row r="280" spans="1:26">
      <c r="A280" s="95">
        <v>9</v>
      </c>
      <c r="B280" s="95">
        <f>Singles!P103</f>
        <v>0</v>
      </c>
      <c r="C280" s="100" t="str">
        <f>IF(OR(LEFT(B280,LEN(B$10))=B$10,LEFT(B280,LEN(C$10))=C$10,LEN(B280)&lt;2),"","Wrong pick")</f>
        <v/>
      </c>
      <c r="D280" s="95">
        <f t="shared" ca="1" si="160"/>
        <v>1</v>
      </c>
      <c r="G280" s="95" t="str">
        <f>IF(B280=0,"",IF(LEFT(B280,LEN(B$10))=B$10,B$10,C$10))</f>
        <v/>
      </c>
      <c r="H280" s="95" t="str">
        <f t="shared" si="161"/>
        <v>0-0</v>
      </c>
      <c r="I280" s="95" t="str">
        <f ca="1">IF(AND(J280=Singles!$H$21,INDIRECT(ADDRESS(A280+1,6,1))=0,NOT(INDIRECT(ADDRESS(A280+1,5,1))="")),IF(D280=0,IF(H280=H298,"",G280&amp;" "&amp;H280&amp;" v "&amp;H298&amp;", "),G280&amp;" "&amp;H280&amp;" vs. "&amp;G298&amp;" "&amp;H298&amp;", "),"")</f>
        <v xml:space="preserve"> 0-0 vs. pereira 2-0, </v>
      </c>
      <c r="J280" s="97">
        <f>Singles!H$11</f>
        <v>1</v>
      </c>
      <c r="K280" s="95" t="str">
        <f t="shared" si="162"/>
        <v>SR</v>
      </c>
      <c r="L280" s="95" t="str">
        <f t="shared" si="163"/>
        <v>0</v>
      </c>
      <c r="M280" s="95" t="str">
        <f t="shared" si="164"/>
        <v>0</v>
      </c>
      <c r="N280" s="95" t="str">
        <f t="shared" si="165"/>
        <v>0</v>
      </c>
      <c r="O280" s="95" t="str">
        <f t="shared" si="166"/>
        <v>0</v>
      </c>
      <c r="P280" s="95" t="str">
        <f t="shared" si="167"/>
        <v>0</v>
      </c>
      <c r="Q280" s="95">
        <f>IF(AND(G280=T$10,LEN(G280)&gt;1),1,0)</f>
        <v>0</v>
      </c>
      <c r="R280" s="97">
        <f>Singles!D$11</f>
        <v>9</v>
      </c>
      <c r="S280" s="95">
        <f>IF(AND(H280=H$10,LEN(H280)&gt;1,Q280=1),1,0)</f>
        <v>0</v>
      </c>
      <c r="T280" s="95" t="str">
        <f>VLOOKUP("Winner",T290:U306,2,0)</f>
        <v>theKSHE</v>
      </c>
      <c r="U280" s="95">
        <f>VLOOKUP(T280,U290:W306,3,0)</f>
        <v>1</v>
      </c>
      <c r="V280" s="97">
        <f>VLOOKUP(9,X272:Y287,2,0)</f>
        <v>1</v>
      </c>
      <c r="X280" s="95">
        <f t="shared" si="168"/>
        <v>9</v>
      </c>
      <c r="Y280" s="95">
        <f t="shared" si="169"/>
        <v>1</v>
      </c>
      <c r="Z280" s="95">
        <f t="shared" si="170"/>
        <v>1</v>
      </c>
    </row>
    <row r="281" spans="1:26">
      <c r="A281" s="95">
        <v>10</v>
      </c>
      <c r="B281" s="95">
        <f>Singles!P104</f>
        <v>0</v>
      </c>
      <c r="C281" s="100" t="str">
        <f>IF(OR(LEFT(B281,LEN(B$11))=B$11,LEFT(B281,LEN(C$11))=C$11,LEN(B281)&lt;2),"","Wrong pick")</f>
        <v/>
      </c>
      <c r="D281" s="95">
        <f t="shared" ca="1" si="160"/>
        <v>1</v>
      </c>
      <c r="G281" s="95" t="str">
        <f>IF(B281=0,"",IF(LEFT(B281,LEN(B$11))=B$11,B$11,C$11))</f>
        <v/>
      </c>
      <c r="H281" s="95" t="str">
        <f t="shared" si="161"/>
        <v>0-0</v>
      </c>
      <c r="I281" s="95" t="str">
        <f ca="1">IF(AND(J281=Singles!$H$21,INDIRECT(ADDRESS(A281+1,6,1))=0,NOT(INDIRECT(ADDRESS(A281+1,5,1))="")),IF(D281=0,IF(H281=H299,"",G281&amp;" "&amp;H281&amp;" v "&amp;H299&amp;", "),G281&amp;" "&amp;H281&amp;" vs. "&amp;G299&amp;" "&amp;H299&amp;", "),"")</f>
        <v xml:space="preserve"> 0-0 vs. collinari 2-0, </v>
      </c>
      <c r="J281" s="97">
        <f>Singles!H$12</f>
        <v>1</v>
      </c>
      <c r="K281" s="95" t="str">
        <f t="shared" si="162"/>
        <v>SR</v>
      </c>
      <c r="L281" s="95" t="str">
        <f t="shared" si="163"/>
        <v>0</v>
      </c>
      <c r="M281" s="95" t="str">
        <f t="shared" si="164"/>
        <v>0</v>
      </c>
      <c r="N281" s="95" t="str">
        <f t="shared" si="165"/>
        <v>0</v>
      </c>
      <c r="O281" s="95" t="str">
        <f t="shared" si="166"/>
        <v>0</v>
      </c>
      <c r="P281" s="95" t="str">
        <f t="shared" si="167"/>
        <v>0</v>
      </c>
      <c r="Q281" s="95">
        <f>IF(AND(G281=T$11,LEN(G281)&gt;1),1,0)</f>
        <v>0</v>
      </c>
      <c r="R281" s="97">
        <f>Singles!D$12</f>
        <v>10</v>
      </c>
      <c r="S281" s="95">
        <f>IF(AND(H281=H$11,LEN(H281)&gt;1,Q281=1),1,0)</f>
        <v>0</v>
      </c>
      <c r="V281" s="97">
        <f>VLOOKUP(10,X272:Y287,2,0)</f>
        <v>1</v>
      </c>
      <c r="X281" s="95">
        <f t="shared" si="168"/>
        <v>10</v>
      </c>
      <c r="Y281" s="95">
        <f t="shared" si="169"/>
        <v>1</v>
      </c>
      <c r="Z281" s="95">
        <f t="shared" si="170"/>
        <v>1</v>
      </c>
    </row>
    <row r="282" spans="1:26">
      <c r="A282" s="95">
        <v>11</v>
      </c>
      <c r="B282" s="95">
        <f>Singles!P105</f>
        <v>0</v>
      </c>
      <c r="C282" s="100" t="str">
        <f>IF(OR(LEFT(B282,LEN(B$12))=B$12,LEFT(B282,LEN(C$12))=C$12,LEN(B282)&lt;2),"","Wrong pick")</f>
        <v/>
      </c>
      <c r="D282" s="95">
        <f t="shared" ca="1" si="160"/>
        <v>1</v>
      </c>
      <c r="G282" s="95" t="str">
        <f>IF(B282=0,"",IF(LEFT(B282,LEN(B$12))=B$12,B$12,C$12))</f>
        <v/>
      </c>
      <c r="H282" s="95" t="str">
        <f t="shared" si="161"/>
        <v>0-0</v>
      </c>
      <c r="I282" s="95" t="str">
        <f ca="1">IF(AND(J282=Singles!$H$21,INDIRECT(ADDRESS(A282+1,6,1))=0,NOT(INDIRECT(ADDRESS(A282+1,5,1))="")),IF(D282=0,IF(H282=H300,"",G282&amp;" "&amp;H282&amp;" v "&amp;H300&amp;", "),G282&amp;" "&amp;H282&amp;" vs. "&amp;G300&amp;" "&amp;H300&amp;", "),"")</f>
        <v xml:space="preserve"> 0-0 vs. giner 2-0, </v>
      </c>
      <c r="J282" s="97">
        <f>Singles!H$13</f>
        <v>1</v>
      </c>
      <c r="K282" s="95" t="str">
        <f t="shared" si="162"/>
        <v>SR</v>
      </c>
      <c r="L282" s="95" t="str">
        <f t="shared" si="163"/>
        <v>0</v>
      </c>
      <c r="M282" s="95" t="str">
        <f t="shared" si="164"/>
        <v>0</v>
      </c>
      <c r="N282" s="95" t="str">
        <f t="shared" si="165"/>
        <v>0</v>
      </c>
      <c r="O282" s="95" t="str">
        <f t="shared" si="166"/>
        <v>0</v>
      </c>
      <c r="P282" s="95" t="str">
        <f t="shared" si="167"/>
        <v>0</v>
      </c>
      <c r="Q282" s="95">
        <f>IF(AND(G282=T$12,LEN(G282)&gt;1),1,0)</f>
        <v>0</v>
      </c>
      <c r="R282" s="97">
        <f>Singles!D$13</f>
        <v>11</v>
      </c>
      <c r="S282" s="95">
        <f>IF(AND(H282=H$12,LEN(H282)&gt;1,Q282=1),1,0)</f>
        <v>0</v>
      </c>
      <c r="V282" s="97">
        <f>VLOOKUP(11,X272:Y287,2,0)</f>
        <v>1</v>
      </c>
      <c r="X282" s="95">
        <f t="shared" si="168"/>
        <v>11</v>
      </c>
      <c r="Y282" s="95">
        <f t="shared" si="169"/>
        <v>1</v>
      </c>
      <c r="Z282" s="95">
        <f t="shared" si="170"/>
        <v>1</v>
      </c>
    </row>
    <row r="283" spans="1:26">
      <c r="A283" s="95">
        <v>12</v>
      </c>
      <c r="B283" s="95">
        <f>Singles!P106</f>
        <v>0</v>
      </c>
      <c r="C283" s="100" t="str">
        <f>IF(OR(LEFT(B283,LEN(B$13))=B$13,LEFT(B283,LEN(C$13))=C$13,LEN(B283)&lt;2),"","Wrong pick")</f>
        <v/>
      </c>
      <c r="D283" s="95">
        <f t="shared" ca="1" si="160"/>
        <v>1</v>
      </c>
      <c r="G283" s="95" t="str">
        <f>IF(B283=0,"",IF(LEFT(B283,LEN(B$13))=B$13,B$13,C$13))</f>
        <v/>
      </c>
      <c r="H283" s="95" t="str">
        <f t="shared" si="161"/>
        <v>0-0</v>
      </c>
      <c r="I283" s="95" t="str">
        <f ca="1">IF(AND(J283=Singles!$H$21,INDIRECT(ADDRESS(A283+1,6,1))=0,NOT(INDIRECT(ADDRESS(A283+1,5,1))="")),IF(D283=0,IF(H283=H301,"",G283&amp;" "&amp;H283&amp;" v "&amp;H301&amp;", "),G283&amp;" "&amp;H283&amp;" vs. "&amp;G301&amp;" "&amp;H301&amp;", "),"")</f>
        <v xml:space="preserve"> 0-0 vs. galdon 2-0, </v>
      </c>
      <c r="J283" s="97">
        <f>Singles!H$14</f>
        <v>1</v>
      </c>
      <c r="K283" s="95" t="str">
        <f t="shared" si="162"/>
        <v>SR</v>
      </c>
      <c r="L283" s="95" t="str">
        <f t="shared" si="163"/>
        <v>0</v>
      </c>
      <c r="M283" s="95" t="str">
        <f t="shared" si="164"/>
        <v>0</v>
      </c>
      <c r="N283" s="95" t="str">
        <f t="shared" si="165"/>
        <v>0</v>
      </c>
      <c r="O283" s="95" t="str">
        <f t="shared" si="166"/>
        <v>0</v>
      </c>
      <c r="P283" s="95" t="str">
        <f t="shared" si="167"/>
        <v>0</v>
      </c>
      <c r="Q283" s="95">
        <f>IF(AND(G283=T$13,LEN(G283)&gt;1),1,0)</f>
        <v>0</v>
      </c>
      <c r="R283" s="97">
        <f>Singles!D$14</f>
        <v>12</v>
      </c>
      <c r="S283" s="95">
        <f>IF(AND(H283=H$13,LEN(H283)&gt;1,Q283=1),1,0)</f>
        <v>0</v>
      </c>
      <c r="V283" s="97">
        <f>VLOOKUP(12,X272:Y287,2,0)</f>
        <v>1</v>
      </c>
      <c r="X283" s="95">
        <f t="shared" si="168"/>
        <v>12</v>
      </c>
      <c r="Y283" s="95">
        <f t="shared" si="169"/>
        <v>1</v>
      </c>
      <c r="Z283" s="95">
        <f t="shared" si="170"/>
        <v>1</v>
      </c>
    </row>
    <row r="284" spans="1:26">
      <c r="A284" s="95">
        <v>13</v>
      </c>
      <c r="B284" s="95">
        <f>Singles!P107</f>
        <v>0</v>
      </c>
      <c r="C284" s="100" t="str">
        <f>IF(OR(LEFT(B284,LEN(B$14))=B$14,LEFT(B284,LEN(C$14))=C$14,LEN(B284)&lt;2),"","Wrong pick")</f>
        <v/>
      </c>
      <c r="D284" s="95">
        <f t="shared" ca="1" si="160"/>
        <v>1</v>
      </c>
      <c r="G284" s="95" t="str">
        <f>IF(B284=0,"",IF(LEFT(B284,LEN(B$14))=B$14,B$14,C$14))</f>
        <v/>
      </c>
      <c r="H284" s="95" t="str">
        <f t="shared" si="161"/>
        <v>0-0</v>
      </c>
      <c r="I284" s="95" t="str">
        <f ca="1">IF(AND(J284=Singles!$H$21,INDIRECT(ADDRESS(A284+1,6,1))=0,NOT(INDIRECT(ADDRESS(A284+1,5,1))="")),IF(D284=0,IF(H284=H302,"",G284&amp;" "&amp;H284&amp;" v "&amp;H302&amp;", "),G284&amp;" "&amp;H284&amp;" vs. "&amp;G302&amp;" "&amp;H302&amp;", "),"")</f>
        <v xml:space="preserve"> 0-0 vs. lobkov 2-0, </v>
      </c>
      <c r="J284" s="97">
        <f>Singles!H$15</f>
        <v>1</v>
      </c>
      <c r="K284" s="95" t="str">
        <f t="shared" si="162"/>
        <v>SR</v>
      </c>
      <c r="L284" s="95" t="str">
        <f t="shared" si="163"/>
        <v>0</v>
      </c>
      <c r="M284" s="95" t="str">
        <f t="shared" si="164"/>
        <v>0</v>
      </c>
      <c r="N284" s="95" t="str">
        <f t="shared" si="165"/>
        <v>0</v>
      </c>
      <c r="O284" s="95" t="str">
        <f t="shared" si="166"/>
        <v>0</v>
      </c>
      <c r="P284" s="95" t="str">
        <f t="shared" si="167"/>
        <v>0</v>
      </c>
      <c r="Q284" s="95">
        <f>IF(AND(G284=T$14,LEN(G284)&gt;1),1,0)</f>
        <v>0</v>
      </c>
      <c r="R284" s="97">
        <f>Singles!D$15</f>
        <v>13</v>
      </c>
      <c r="S284" s="95">
        <f>IF(AND(H284=H$14,LEN(H284)&gt;1,Q284=1),1,0)</f>
        <v>0</v>
      </c>
      <c r="V284" s="97">
        <f>VLOOKUP(13,X272:Y287,2,0)</f>
        <v>1</v>
      </c>
      <c r="X284" s="95">
        <f t="shared" si="168"/>
        <v>13</v>
      </c>
      <c r="Y284" s="95">
        <f t="shared" si="169"/>
        <v>1</v>
      </c>
      <c r="Z284" s="95">
        <f t="shared" si="170"/>
        <v>1</v>
      </c>
    </row>
    <row r="285" spans="1:26">
      <c r="A285" s="95">
        <v>14</v>
      </c>
      <c r="B285" s="95">
        <f>Singles!P108</f>
        <v>0</v>
      </c>
      <c r="C285" s="100" t="str">
        <f>IF(OR(LEFT(B285,LEN(B$15))=B$15,LEFT(B285,LEN(C$15))=C$15,LEN(B285)&lt;2),"","Wrong pick")</f>
        <v/>
      </c>
      <c r="D285" s="95">
        <f t="shared" ca="1" si="160"/>
        <v>1</v>
      </c>
      <c r="G285" s="95" t="str">
        <f>IF(B285=0,"",IF(LEFT(B285,LEN(B$15))=B$15,B$15,C$15))</f>
        <v/>
      </c>
      <c r="H285" s="95" t="str">
        <f t="shared" si="161"/>
        <v>0-0</v>
      </c>
      <c r="I285" s="95" t="str">
        <f ca="1">IF(AND(J285=Singles!$H$21,INDIRECT(ADDRESS(A285+1,6,1))=0,NOT(INDIRECT(ADDRESS(A285+1,5,1))="")),IF(D285=0,IF(H285=H303,"",G285&amp;" "&amp;H285&amp;" v "&amp;H303&amp;", "),G285&amp;" "&amp;H285&amp;" vs. "&amp;G303&amp;" "&amp;H303&amp;", "),"")</f>
        <v xml:space="preserve"> 0-0 vs. santos 2-0, </v>
      </c>
      <c r="J285" s="97">
        <f>Singles!H$16</f>
        <v>1</v>
      </c>
      <c r="K285" s="95" t="str">
        <f t="shared" si="162"/>
        <v>SR</v>
      </c>
      <c r="L285" s="95" t="str">
        <f t="shared" si="163"/>
        <v>0</v>
      </c>
      <c r="M285" s="95" t="str">
        <f t="shared" si="164"/>
        <v>0</v>
      </c>
      <c r="N285" s="95" t="str">
        <f t="shared" si="165"/>
        <v>0</v>
      </c>
      <c r="O285" s="95" t="str">
        <f t="shared" si="166"/>
        <v>0</v>
      </c>
      <c r="P285" s="95" t="str">
        <f t="shared" si="167"/>
        <v>0</v>
      </c>
      <c r="Q285" s="95">
        <f>IF(AND(G285=T$15,LEN(G285)&gt;1),1,0)</f>
        <v>0</v>
      </c>
      <c r="R285" s="97">
        <f>Singles!D$16</f>
        <v>14</v>
      </c>
      <c r="S285" s="95">
        <f>IF(AND(H285=H$15,LEN(H285)&gt;1,Q285=1),1,0)</f>
        <v>0</v>
      </c>
      <c r="V285" s="97">
        <f>VLOOKUP(14,X272:Y287,2,0)</f>
        <v>1</v>
      </c>
      <c r="X285" s="95">
        <f t="shared" si="168"/>
        <v>14</v>
      </c>
      <c r="Y285" s="95">
        <f t="shared" si="169"/>
        <v>1</v>
      </c>
      <c r="Z285" s="95">
        <f t="shared" si="170"/>
        <v>1</v>
      </c>
    </row>
    <row r="286" spans="1:26">
      <c r="A286" s="95">
        <v>15</v>
      </c>
      <c r="B286" s="95">
        <f>Singles!P109</f>
        <v>0</v>
      </c>
      <c r="C286" s="100" t="str">
        <f>IF(OR(LEFT(B286,LEN(B$16))=B$16,LEFT(B286,LEN(C$16))=C$16,LEN(B286)&lt;2),"","Wrong pick")</f>
        <v/>
      </c>
      <c r="D286" s="95">
        <f t="shared" ca="1" si="160"/>
        <v>1</v>
      </c>
      <c r="G286" s="95" t="str">
        <f>IF(B286=0,"",IF(LEFT(B286,LEN(B$16))=B$16,B$16,C$16))</f>
        <v/>
      </c>
      <c r="H286" s="95" t="str">
        <f t="shared" si="161"/>
        <v>0-0</v>
      </c>
      <c r="I286" s="95" t="str">
        <f ca="1">IF(AND(J286=Singles!$H$21,INDIRECT(ADDRESS(A286+1,6,1))=0,NOT(INDIRECT(ADDRESS(A286+1,5,1))="")),IF(D286=0,IF(H286=H304,"",G286&amp;" "&amp;H286&amp;" v "&amp;H304&amp;", "),G286&amp;" "&amp;H286&amp;" vs. "&amp;G304&amp;" "&amp;H304&amp;", "),"")</f>
        <v xml:space="preserve"> 0-0 vs. santos 2-0, </v>
      </c>
      <c r="J286" s="97">
        <f>Singles!H$17</f>
        <v>1</v>
      </c>
      <c r="K286" s="95" t="str">
        <f t="shared" si="162"/>
        <v>SR</v>
      </c>
      <c r="L286" s="95" t="str">
        <f t="shared" si="163"/>
        <v>0</v>
      </c>
      <c r="M286" s="95" t="str">
        <f t="shared" si="164"/>
        <v>0</v>
      </c>
      <c r="N286" s="95" t="str">
        <f t="shared" si="165"/>
        <v>0</v>
      </c>
      <c r="O286" s="95" t="str">
        <f t="shared" si="166"/>
        <v>0</v>
      </c>
      <c r="P286" s="95" t="str">
        <f t="shared" si="167"/>
        <v>0</v>
      </c>
      <c r="Q286" s="95">
        <f>IF(AND(G286=T$16,LEN(G286)&gt;1),1,0)</f>
        <v>0</v>
      </c>
      <c r="R286" s="97">
        <f>Singles!D$17</f>
        <v>15</v>
      </c>
      <c r="S286" s="95">
        <f>IF(AND(H286=H$16,LEN(H286)&gt;1,Q286=1),1,0)</f>
        <v>0</v>
      </c>
      <c r="V286" s="97">
        <f>VLOOKUP(15,X272:Y287,2,0)</f>
        <v>1</v>
      </c>
      <c r="X286" s="95">
        <f t="shared" si="168"/>
        <v>15</v>
      </c>
      <c r="Y286" s="95">
        <f t="shared" si="169"/>
        <v>1</v>
      </c>
      <c r="Z286" s="95">
        <f t="shared" si="170"/>
        <v>1</v>
      </c>
    </row>
    <row r="287" spans="1:26">
      <c r="A287" s="95">
        <v>16</v>
      </c>
      <c r="B287" s="95">
        <f>Singles!P110</f>
        <v>0</v>
      </c>
      <c r="C287" s="100" t="str">
        <f>IF(OR(LEFT(B287,LEN(B$17))=B$17,LEFT(B287,LEN(C$17))=C$17,LEN(B287)&lt;2),"","Wrong pick")</f>
        <v/>
      </c>
      <c r="D287" s="95">
        <f t="shared" ca="1" si="160"/>
        <v>1</v>
      </c>
      <c r="G287" s="95" t="str">
        <f>IF(B287=0,"",IF(LEFT(B287,LEN(B$17))=B$17,B$17,C$17))</f>
        <v/>
      </c>
      <c r="H287" s="95" t="str">
        <f t="shared" si="161"/>
        <v>0-0</v>
      </c>
      <c r="I287" s="95" t="str">
        <f ca="1">IF(AND(J287=Singles!$H$21,INDIRECT(ADDRESS(A287+1,6,1))=0,NOT(INDIRECT(ADDRESS(A287+1,5,1))="")),IF(D287=0,IF(H287=H305,"",G287&amp;" "&amp;H287&amp;" v "&amp;H305&amp;", "),G287&amp;" "&amp;H287&amp;" vs. "&amp;G305&amp;" "&amp;H305&amp;", "),"")</f>
        <v xml:space="preserve"> 0-0 vs. lojda 2-0, </v>
      </c>
      <c r="J287" s="97">
        <f>Singles!H$18</f>
        <v>1</v>
      </c>
      <c r="K287" s="95" t="str">
        <f t="shared" si="162"/>
        <v>SR</v>
      </c>
      <c r="L287" s="95" t="str">
        <f t="shared" si="163"/>
        <v>0</v>
      </c>
      <c r="M287" s="95" t="str">
        <f t="shared" si="164"/>
        <v>0</v>
      </c>
      <c r="N287" s="95" t="str">
        <f t="shared" si="165"/>
        <v>0</v>
      </c>
      <c r="O287" s="95" t="str">
        <f t="shared" si="166"/>
        <v>0</v>
      </c>
      <c r="P287" s="95" t="str">
        <f t="shared" si="167"/>
        <v>0</v>
      </c>
      <c r="Q287" s="95">
        <f>IF(AND(G287=T$17,LEN(G287)&gt;1),1,0)</f>
        <v>0</v>
      </c>
      <c r="R287" s="97">
        <f>Singles!D$18</f>
        <v>16</v>
      </c>
      <c r="S287" s="95">
        <f>IF(AND(H287=H$17,LEN(H287)&gt;1,Q287=1),1,0)</f>
        <v>0</v>
      </c>
      <c r="V287" s="97">
        <f>VLOOKUP(16,X272:Y287,2,0)</f>
        <v>1</v>
      </c>
      <c r="X287" s="95">
        <f t="shared" si="168"/>
        <v>16</v>
      </c>
      <c r="Y287" s="95">
        <f t="shared" si="169"/>
        <v>1</v>
      </c>
      <c r="Z287" s="95">
        <f t="shared" si="170"/>
        <v>1</v>
      </c>
    </row>
    <row r="289" spans="1:26">
      <c r="A289" s="95">
        <f>IF(LEN(VLOOKUP(B289,Singles!$A$2:$B$33,2,0))&gt;0,VLOOKUP(B289,Singles!$A$2:$B$33,2,0),"")</f>
        <v>5</v>
      </c>
      <c r="B289" s="96" t="str">
        <f>Singles!Q94</f>
        <v>theKSHE</v>
      </c>
      <c r="C289" s="96">
        <v>16</v>
      </c>
      <c r="D289" s="95" t="str">
        <f>VLOOKUP(B289,Singles!$A$2:$C$33,3,0)</f>
        <v>POR</v>
      </c>
      <c r="J289" s="95" t="s">
        <v>88</v>
      </c>
      <c r="Q289" s="95" t="s">
        <v>121</v>
      </c>
      <c r="S289" s="95" t="s">
        <v>122</v>
      </c>
      <c r="T289" s="95" t="str">
        <f>IF(LEN(A289)&gt;0,"("&amp;A289&amp;") "&amp;B289,B289)&amp;IF(LEN(D289)&gt;1," ("&amp;D289&amp;")","")</f>
        <v>(5) theKSHE (POR)</v>
      </c>
      <c r="V289" s="95" t="s">
        <v>123</v>
      </c>
      <c r="Y289" s="95" t="s">
        <v>123</v>
      </c>
    </row>
    <row r="290" spans="1:26">
      <c r="A290" s="95">
        <v>1</v>
      </c>
      <c r="B290" s="95" t="str">
        <f>Singles!Q95</f>
        <v>TRAVAGLIA 6-4 4-6 6-3</v>
      </c>
      <c r="C290" s="99" t="str">
        <f>IF(OR(LEFT(B290,LEN(B$2))=B$2,LEFT(B290,LEN(C$2))=C$2,LEN(B290)&lt;2),"","Wrong pick")</f>
        <v/>
      </c>
      <c r="E290" s="95" t="str">
        <f ca="1">IF(AND(D272=1,J290=$I$2),G290&amp;", ","")&amp;IF(AND(D273=1,J291=$I$2),G291&amp;", ","")&amp;IF(AND(D274=1,J292=$I$2),G292&amp;", ","")&amp;IF(AND(D275=1,J293=$I$2),G293&amp;", ","")&amp;IF(AND(D276=1,J294=$I$2),G294&amp;", ","")&amp;IF(AND(D277=1,J295=$I$2),G295&amp;", ","")&amp;IF(AND(D278=1,J296=$I$2),G296&amp;", ","")&amp;IF(AND(D279=1,J297=$I$2),G297&amp;", ","")&amp;IF(AND(D280=1,J298=$I$2),G298&amp;", ","")&amp;IF(AND(D281=1,J299=$I$2),G299&amp;", ","")&amp;IF(AND(D282=1,J300=$I$2),G300&amp;", ","")&amp;IF(AND(D283=1,J301=$I$2),G301&amp;", ","")&amp;IF(AND(D284=1,J302=$I$2),G302&amp;", ","")&amp;IF(AND(D285=1,J303=$I$2),G303&amp;", ","")&amp;IF(AND(D286=1,J304=$I$2),G304&amp;", ","")&amp;IF(AND(D287=1,J305=$I$2),G305&amp;", ","")</f>
        <v xml:space="preserve">Travaglia, Machado, Junqueira, Gaio, PODLIPBIK-CASTILLO, Duran, Michon, gonzalez, pereira, collinari, giner, galdon, lobkov, santos, santos, lojda, </v>
      </c>
      <c r="F290" s="95" t="str">
        <f>IF(AND(SUM(Z290:Z305)=$I$4,NOT(B289="Bye")),"Missing picks from "&amp;B289&amp;" ","")</f>
        <v/>
      </c>
      <c r="G290" s="95" t="str">
        <f>IF(B290=0,"",IF(LEFT(B290,LEN(B$2))=B$2,B$2,C$2))</f>
        <v>Travaglia</v>
      </c>
      <c r="H290" s="95" t="str">
        <f t="shared" ref="H290:H305" si="171">IF(L290="","",IF(K290="PTS",IF(LEN(O290)&lt;8,"2-0","2-1"),LEFT(O290,1)&amp;"-"&amp;RIGHT(O290,1)))</f>
        <v>2-1</v>
      </c>
      <c r="J290" s="97">
        <f>Singles!H$3</f>
        <v>1</v>
      </c>
      <c r="K290" s="95" t="str">
        <f t="shared" ref="K290:K305" si="172">IF(LEN(L290)&gt;0,IF(LEN(O290)&lt;4,"SR","PTS"),"")</f>
        <v>PTS</v>
      </c>
      <c r="L290" s="95" t="str">
        <f t="shared" ref="L290:L305" si="173">TRIM(RIGHT(B290,LEN(B290)-LEN(G290)))</f>
        <v>6-4 4-6 6-3</v>
      </c>
      <c r="M290" s="95" t="str">
        <f t="shared" ref="M290:M305" si="174">SUBSTITUTE(L290,"-","")</f>
        <v>64 46 63</v>
      </c>
      <c r="N290" s="95" t="str">
        <f t="shared" ref="N290:N305" si="175">SUBSTITUTE(M290,","," ")</f>
        <v>64 46 63</v>
      </c>
      <c r="O290" s="95" t="str">
        <f t="shared" ref="O290:O305" si="176">IF(AND(LEN(TRIM(SUBSTITUTE(P290,"/","")))&gt;6,OR(LEFT(TRIM(SUBSTITUTE(P290,"/","")),2)="20",LEFT(TRIM(SUBSTITUTE(P290,"/","")),2)="21")),RIGHT(TRIM(SUBSTITUTE(P290,"/","")),LEN(TRIM(SUBSTITUTE(P290,"/","")))-3),TRIM(SUBSTITUTE(P290,"/","")))</f>
        <v>64 46 63</v>
      </c>
      <c r="P290" s="95" t="str">
        <f t="shared" ref="P290:P305" si="177">SUBSTITUTE(N290,":","")</f>
        <v>64 46 63</v>
      </c>
      <c r="Q290" s="95">
        <f>IF(AND(G290=T$2,LEN(G290)&gt;1),1,0)</f>
        <v>0</v>
      </c>
      <c r="R290" s="97">
        <f>Singles!D$3</f>
        <v>1</v>
      </c>
      <c r="S290" s="95">
        <f>IF(AND(H290=H$2,LEN(H290)&gt;1,Q290=1),1,0)</f>
        <v>0</v>
      </c>
      <c r="T290" s="95" t="str">
        <f t="shared" ref="T290:T305" si="178">IF(V272=V290,"No","Winner")</f>
        <v>Winner</v>
      </c>
      <c r="U290" s="95" t="str">
        <f>IF(T290="Winner",IF(V290&gt;V272,B289,B271),"")</f>
        <v>theKSHE</v>
      </c>
      <c r="V290" s="97">
        <f>VLOOKUP(1,X290:Y305,2,0)</f>
        <v>2</v>
      </c>
      <c r="W290" s="95">
        <v>1</v>
      </c>
      <c r="X290" s="95">
        <f t="shared" ref="X290:X305" si="179">R290</f>
        <v>1</v>
      </c>
      <c r="Y290" s="95">
        <f t="shared" ref="Y290:Y305" si="180">IF(Q290=1,IF(S290=1,4,3),IF(H290="2-1",2,1))</f>
        <v>2</v>
      </c>
      <c r="Z290" s="95">
        <f t="shared" ref="Z290:Z305" si="181">IF(AND($I$2=J290,B290=0),1,0)</f>
        <v>0</v>
      </c>
    </row>
    <row r="291" spans="1:26">
      <c r="A291" s="95">
        <v>2</v>
      </c>
      <c r="B291" s="95" t="str">
        <f>Singles!Q96</f>
        <v>MACHADO 6-2 6-0</v>
      </c>
      <c r="C291" s="100" t="str">
        <f>IF(OR(LEFT(B291,LEN(B$3))=B$3,LEFT(B291,LEN(C$3))=C$3,LEN(B291)&lt;2),"","Wrong pick")</f>
        <v/>
      </c>
      <c r="G291" s="95" t="str">
        <f>IF(B291=0,"",IF(LEFT(B291,LEN(B$3))=B$3,B$3,C$3))</f>
        <v>Machado</v>
      </c>
      <c r="H291" s="95" t="str">
        <f t="shared" si="171"/>
        <v>2-0</v>
      </c>
      <c r="J291" s="97">
        <f>Singles!H$4</f>
        <v>1</v>
      </c>
      <c r="K291" s="95" t="str">
        <f t="shared" si="172"/>
        <v>PTS</v>
      </c>
      <c r="L291" s="95" t="str">
        <f t="shared" si="173"/>
        <v>6-2 6-0</v>
      </c>
      <c r="M291" s="95" t="str">
        <f t="shared" si="174"/>
        <v>62 60</v>
      </c>
      <c r="N291" s="95" t="str">
        <f t="shared" si="175"/>
        <v>62 60</v>
      </c>
      <c r="O291" s="95" t="str">
        <f t="shared" si="176"/>
        <v>62 60</v>
      </c>
      <c r="P291" s="95" t="str">
        <f t="shared" si="177"/>
        <v>62 60</v>
      </c>
      <c r="Q291" s="95">
        <f>IF(AND(G291=T$3,LEN(G291)&gt;1),1,0)</f>
        <v>0</v>
      </c>
      <c r="R291" s="97">
        <f>Singles!D$4</f>
        <v>2</v>
      </c>
      <c r="S291" s="95">
        <f>IF(AND(H291=H$3,LEN(H291)&gt;1,Q291=1),1,0)</f>
        <v>0</v>
      </c>
      <c r="T291" s="95" t="str">
        <f t="shared" si="178"/>
        <v>No</v>
      </c>
      <c r="U291" s="95" t="str">
        <f>IF(T291="Winner",IF(V291&gt;V273,B289,B271),"")</f>
        <v/>
      </c>
      <c r="V291" s="97">
        <f>VLOOKUP(2,X290:Y305,2,0)</f>
        <v>1</v>
      </c>
      <c r="W291" s="95">
        <v>2</v>
      </c>
      <c r="X291" s="95">
        <f t="shared" si="179"/>
        <v>2</v>
      </c>
      <c r="Y291" s="95">
        <f t="shared" si="180"/>
        <v>1</v>
      </c>
      <c r="Z291" s="95">
        <f t="shared" si="181"/>
        <v>0</v>
      </c>
    </row>
    <row r="292" spans="1:26">
      <c r="A292" s="95">
        <v>3</v>
      </c>
      <c r="B292" s="95" t="str">
        <f>Singles!Q97</f>
        <v>JUNQUEIRA 6-4 6-3</v>
      </c>
      <c r="C292" s="100" t="str">
        <f>IF(OR(LEFT(B292,LEN(B$4))=B$4,LEFT(B292,LEN(C$4))=C$4,LEN(B292)&lt;2),"","Wrong pick")</f>
        <v/>
      </c>
      <c r="G292" s="95" t="str">
        <f>IF(B292=0,"",IF(LEFT(B292,LEN(B$4))=B$4,B$4,C$4))</f>
        <v>Junqueira</v>
      </c>
      <c r="H292" s="95" t="str">
        <f t="shared" si="171"/>
        <v>2-0</v>
      </c>
      <c r="J292" s="97">
        <f>Singles!H$5</f>
        <v>1</v>
      </c>
      <c r="K292" s="95" t="str">
        <f t="shared" si="172"/>
        <v>PTS</v>
      </c>
      <c r="L292" s="95" t="str">
        <f t="shared" si="173"/>
        <v>6-4 6-3</v>
      </c>
      <c r="M292" s="95" t="str">
        <f t="shared" si="174"/>
        <v>64 63</v>
      </c>
      <c r="N292" s="95" t="str">
        <f t="shared" si="175"/>
        <v>64 63</v>
      </c>
      <c r="O292" s="95" t="str">
        <f t="shared" si="176"/>
        <v>64 63</v>
      </c>
      <c r="P292" s="95" t="str">
        <f t="shared" si="177"/>
        <v>64 63</v>
      </c>
      <c r="Q292" s="95">
        <f>IF(AND(G292=T$4,LEN(G292)&gt;1),1,0)</f>
        <v>0</v>
      </c>
      <c r="R292" s="97">
        <f>Singles!D$5</f>
        <v>3</v>
      </c>
      <c r="S292" s="95">
        <f>IF(AND(H292=H$4,LEN(H292)&gt;1,Q292=1),1,0)</f>
        <v>0</v>
      </c>
      <c r="T292" s="95" t="str">
        <f t="shared" si="178"/>
        <v>No</v>
      </c>
      <c r="U292" s="95" t="str">
        <f>IF(T292="Winner",IF(V292&gt;V274,B289,B271),"")</f>
        <v/>
      </c>
      <c r="V292" s="97">
        <f>VLOOKUP(3,X290:Y305,2,0)</f>
        <v>1</v>
      </c>
      <c r="W292" s="95">
        <v>3</v>
      </c>
      <c r="X292" s="95">
        <f t="shared" si="179"/>
        <v>3</v>
      </c>
      <c r="Y292" s="95">
        <f t="shared" si="180"/>
        <v>1</v>
      </c>
      <c r="Z292" s="95">
        <f t="shared" si="181"/>
        <v>0</v>
      </c>
    </row>
    <row r="293" spans="1:26">
      <c r="A293" s="95">
        <v>4</v>
      </c>
      <c r="B293" s="95" t="str">
        <f>Singles!Q98</f>
        <v>GAIO 6-4 7-6</v>
      </c>
      <c r="C293" s="100" t="str">
        <f>IF(OR(LEFT(B293,LEN(B$5))=B$5,LEFT(B293,LEN(C$5))=C$5,LEN(B293)&lt;2),"","Wrong pick")</f>
        <v/>
      </c>
      <c r="G293" s="95" t="str">
        <f>IF(B293=0,"",IF(LEFT(B293,LEN(B$5))=B$5,B$5,C$5))</f>
        <v>Gaio</v>
      </c>
      <c r="H293" s="95" t="str">
        <f t="shared" si="171"/>
        <v>2-0</v>
      </c>
      <c r="J293" s="97">
        <f>Singles!H$6</f>
        <v>1</v>
      </c>
      <c r="K293" s="95" t="str">
        <f t="shared" si="172"/>
        <v>PTS</v>
      </c>
      <c r="L293" s="95" t="str">
        <f t="shared" si="173"/>
        <v>6-4 7-6</v>
      </c>
      <c r="M293" s="95" t="str">
        <f t="shared" si="174"/>
        <v>64 76</v>
      </c>
      <c r="N293" s="95" t="str">
        <f t="shared" si="175"/>
        <v>64 76</v>
      </c>
      <c r="O293" s="95" t="str">
        <f t="shared" si="176"/>
        <v>64 76</v>
      </c>
      <c r="P293" s="95" t="str">
        <f t="shared" si="177"/>
        <v>64 76</v>
      </c>
      <c r="Q293" s="95">
        <f>IF(AND(G293=T$5,LEN(G293)&gt;1),1,0)</f>
        <v>0</v>
      </c>
      <c r="R293" s="97">
        <f>Singles!D$6</f>
        <v>4</v>
      </c>
      <c r="S293" s="95">
        <f>IF(AND(H293=H$5,LEN(H293)&gt;1,Q293=1),1,0)</f>
        <v>0</v>
      </c>
      <c r="T293" s="95" t="str">
        <f t="shared" si="178"/>
        <v>No</v>
      </c>
      <c r="U293" s="95" t="str">
        <f>IF(T293="Winner",IF(V293&gt;V275,B289,B271),"")</f>
        <v/>
      </c>
      <c r="V293" s="97">
        <f>VLOOKUP(4,X290:Y305,2,0)</f>
        <v>1</v>
      </c>
      <c r="W293" s="95">
        <v>4</v>
      </c>
      <c r="X293" s="95">
        <f t="shared" si="179"/>
        <v>4</v>
      </c>
      <c r="Y293" s="95">
        <f t="shared" si="180"/>
        <v>1</v>
      </c>
      <c r="Z293" s="95">
        <f t="shared" si="181"/>
        <v>0</v>
      </c>
    </row>
    <row r="294" spans="1:26">
      <c r="A294" s="95">
        <v>5</v>
      </c>
      <c r="B294" s="95" t="str">
        <f>Singles!Q99</f>
        <v>PODLIPBIK-CASTILLO 6-0 6-0</v>
      </c>
      <c r="C294" s="100" t="str">
        <f>IF(OR(LEFT(B294,LEN(B$6))=B$6,LEFT(B294,LEN(C$6))=C$6,LEN(B294)&lt;2),"","Wrong pick")</f>
        <v/>
      </c>
      <c r="G294" s="95" t="str">
        <f>IF(B294=0,"",IF(LEFT(B294,LEN(B$6))=B$6,B$6,C$6))</f>
        <v>PODLIPBIK-CASTILLO</v>
      </c>
      <c r="H294" s="95" t="str">
        <f t="shared" si="171"/>
        <v>2-0</v>
      </c>
      <c r="J294" s="97">
        <f>Singles!H$7</f>
        <v>1</v>
      </c>
      <c r="K294" s="95" t="str">
        <f t="shared" si="172"/>
        <v>PTS</v>
      </c>
      <c r="L294" s="95" t="str">
        <f t="shared" si="173"/>
        <v>6-0 6-0</v>
      </c>
      <c r="M294" s="95" t="str">
        <f t="shared" si="174"/>
        <v>60 60</v>
      </c>
      <c r="N294" s="95" t="str">
        <f t="shared" si="175"/>
        <v>60 60</v>
      </c>
      <c r="O294" s="95" t="str">
        <f t="shared" si="176"/>
        <v>60 60</v>
      </c>
      <c r="P294" s="95" t="str">
        <f t="shared" si="177"/>
        <v>60 60</v>
      </c>
      <c r="Q294" s="95">
        <f>IF(AND(G294=T$6,LEN(G294)&gt;1),1,0)</f>
        <v>0</v>
      </c>
      <c r="R294" s="97">
        <f>Singles!D$7</f>
        <v>5</v>
      </c>
      <c r="S294" s="95">
        <f>IF(AND(H294=H$6,LEN(H294)&gt;1,Q294=1),1,0)</f>
        <v>0</v>
      </c>
      <c r="T294" s="95" t="str">
        <f t="shared" si="178"/>
        <v>No</v>
      </c>
      <c r="U294" s="95" t="str">
        <f>IF(T294="Winner",IF(V294&gt;V276,B289,B271),"")</f>
        <v/>
      </c>
      <c r="V294" s="97">
        <f>VLOOKUP(5,X290:Y305,2,0)</f>
        <v>1</v>
      </c>
      <c r="W294" s="95">
        <v>5</v>
      </c>
      <c r="X294" s="95">
        <f t="shared" si="179"/>
        <v>5</v>
      </c>
      <c r="Y294" s="95">
        <f t="shared" si="180"/>
        <v>1</v>
      </c>
      <c r="Z294" s="95">
        <f t="shared" si="181"/>
        <v>0</v>
      </c>
    </row>
    <row r="295" spans="1:26">
      <c r="A295" s="95">
        <v>6</v>
      </c>
      <c r="B295" s="95" t="str">
        <f>Singles!Q100</f>
        <v>DURAN 6-4 4-6 6-2</v>
      </c>
      <c r="C295" s="100" t="str">
        <f>IF(OR(LEFT(B295,LEN(B$7))=B$7,LEFT(B295,LEN(C$7))=C$7,LEN(B295)&lt;2),"","Wrong pick")</f>
        <v/>
      </c>
      <c r="G295" s="95" t="str">
        <f>IF(B295=0,"",IF(LEFT(B295,LEN(B$7))=B$7,B$7,C$7))</f>
        <v>Duran</v>
      </c>
      <c r="H295" s="95" t="str">
        <f t="shared" si="171"/>
        <v>2-1</v>
      </c>
      <c r="J295" s="97">
        <f>Singles!H$8</f>
        <v>1</v>
      </c>
      <c r="K295" s="95" t="str">
        <f t="shared" si="172"/>
        <v>PTS</v>
      </c>
      <c r="L295" s="95" t="str">
        <f t="shared" si="173"/>
        <v>6-4 4-6 6-2</v>
      </c>
      <c r="M295" s="95" t="str">
        <f t="shared" si="174"/>
        <v>64 46 62</v>
      </c>
      <c r="N295" s="95" t="str">
        <f t="shared" si="175"/>
        <v>64 46 62</v>
      </c>
      <c r="O295" s="95" t="str">
        <f t="shared" si="176"/>
        <v>64 46 62</v>
      </c>
      <c r="P295" s="95" t="str">
        <f t="shared" si="177"/>
        <v>64 46 62</v>
      </c>
      <c r="Q295" s="95">
        <f>IF(AND(G295=T$7,LEN(G295)&gt;1),1,0)</f>
        <v>0</v>
      </c>
      <c r="R295" s="97">
        <f>Singles!D$8</f>
        <v>6</v>
      </c>
      <c r="S295" s="95">
        <f>IF(AND(H295=H$7,LEN(H295)&gt;1,Q295=1),1,0)</f>
        <v>0</v>
      </c>
      <c r="T295" s="95" t="str">
        <f t="shared" si="178"/>
        <v>Winner</v>
      </c>
      <c r="U295" s="95" t="str">
        <f>IF(T295="Winner",IF(V295&gt;V277,B289,B271),"")</f>
        <v>theKSHE</v>
      </c>
      <c r="V295" s="97">
        <f>VLOOKUP(6,X290:Y305,2,0)</f>
        <v>2</v>
      </c>
      <c r="W295" s="95">
        <v>6</v>
      </c>
      <c r="X295" s="95">
        <f t="shared" si="179"/>
        <v>6</v>
      </c>
      <c r="Y295" s="95">
        <f t="shared" si="180"/>
        <v>2</v>
      </c>
      <c r="Z295" s="95">
        <f t="shared" si="181"/>
        <v>0</v>
      </c>
    </row>
    <row r="296" spans="1:26">
      <c r="A296" s="95">
        <v>7</v>
      </c>
      <c r="B296" s="95" t="str">
        <f>Singles!Q101</f>
        <v>MICHON 6-4 6-3</v>
      </c>
      <c r="C296" s="100" t="str">
        <f>IF(OR(LEFT(B296,LEN(B$8))=B$8,LEFT(B296,LEN(C$8))=C$8,LEN(B296)&lt;2),"","Wrong pick")</f>
        <v/>
      </c>
      <c r="G296" s="95" t="str">
        <f>IF(B296=0,"",IF(LEFT(B296,LEN(B$8))=B$8,B$8,C$8))</f>
        <v>Michon</v>
      </c>
      <c r="H296" s="95" t="str">
        <f t="shared" si="171"/>
        <v>2-0</v>
      </c>
      <c r="J296" s="97">
        <f>Singles!H$9</f>
        <v>1</v>
      </c>
      <c r="K296" s="95" t="str">
        <f t="shared" si="172"/>
        <v>PTS</v>
      </c>
      <c r="L296" s="95" t="str">
        <f t="shared" si="173"/>
        <v>6-4 6-3</v>
      </c>
      <c r="M296" s="95" t="str">
        <f t="shared" si="174"/>
        <v>64 63</v>
      </c>
      <c r="N296" s="95" t="str">
        <f t="shared" si="175"/>
        <v>64 63</v>
      </c>
      <c r="O296" s="95" t="str">
        <f t="shared" si="176"/>
        <v>64 63</v>
      </c>
      <c r="P296" s="95" t="str">
        <f t="shared" si="177"/>
        <v>64 63</v>
      </c>
      <c r="Q296" s="95">
        <f>IF(AND(G296=T$8,LEN(G296)&gt;1),1,0)</f>
        <v>0</v>
      </c>
      <c r="R296" s="97">
        <f>Singles!D$9</f>
        <v>7</v>
      </c>
      <c r="S296" s="95">
        <f>IF(AND(H296=H$8,LEN(H296)&gt;1,Q296=1),1,0)</f>
        <v>0</v>
      </c>
      <c r="T296" s="95" t="str">
        <f t="shared" si="178"/>
        <v>No</v>
      </c>
      <c r="U296" s="95" t="str">
        <f>IF(T296="Winner",IF(V296&gt;V278,B289,B271),"")</f>
        <v/>
      </c>
      <c r="V296" s="97">
        <f>VLOOKUP(7,X290:Y305,2,0)</f>
        <v>1</v>
      </c>
      <c r="W296" s="95">
        <v>7</v>
      </c>
      <c r="X296" s="95">
        <f t="shared" si="179"/>
        <v>7</v>
      </c>
      <c r="Y296" s="95">
        <f t="shared" si="180"/>
        <v>1</v>
      </c>
      <c r="Z296" s="95">
        <f t="shared" si="181"/>
        <v>0</v>
      </c>
    </row>
    <row r="297" spans="1:26">
      <c r="A297" s="95">
        <v>8</v>
      </c>
      <c r="B297" s="95" t="str">
        <f>Singles!Q102</f>
        <v>GONZALEZ 6-4 6-2</v>
      </c>
      <c r="C297" s="100" t="str">
        <f>IF(OR(LEFT(B297,LEN(B$9))=B$9,LEFT(B297,LEN(C$9))=C$9,LEN(B297)&lt;2),"","Wrong pick")</f>
        <v/>
      </c>
      <c r="G297" s="95" t="str">
        <f>IF(B297=0,"",IF(LEFT(B297,LEN(B$9))=B$9,B$9,C$9))</f>
        <v>gonzalez</v>
      </c>
      <c r="H297" s="95" t="str">
        <f t="shared" si="171"/>
        <v>2-0</v>
      </c>
      <c r="J297" s="97">
        <f>Singles!H$10</f>
        <v>1</v>
      </c>
      <c r="K297" s="95" t="str">
        <f t="shared" si="172"/>
        <v>PTS</v>
      </c>
      <c r="L297" s="95" t="str">
        <f t="shared" si="173"/>
        <v>6-4 6-2</v>
      </c>
      <c r="M297" s="95" t="str">
        <f t="shared" si="174"/>
        <v>64 62</v>
      </c>
      <c r="N297" s="95" t="str">
        <f t="shared" si="175"/>
        <v>64 62</v>
      </c>
      <c r="O297" s="95" t="str">
        <f t="shared" si="176"/>
        <v>64 62</v>
      </c>
      <c r="P297" s="95" t="str">
        <f t="shared" si="177"/>
        <v>64 62</v>
      </c>
      <c r="Q297" s="95">
        <f>IF(AND(G297=T$9,LEN(G297)&gt;1),1,0)</f>
        <v>0</v>
      </c>
      <c r="R297" s="97">
        <f>Singles!D$10</f>
        <v>8</v>
      </c>
      <c r="S297" s="95">
        <f>IF(AND(H297=H$9,LEN(H297)&gt;1,Q297=1),1,0)</f>
        <v>0</v>
      </c>
      <c r="T297" s="95" t="str">
        <f t="shared" si="178"/>
        <v>No</v>
      </c>
      <c r="U297" s="95" t="str">
        <f>IF(T297="Winner",IF(V297&gt;V279,B289,B271),"")</f>
        <v/>
      </c>
      <c r="V297" s="97">
        <f>VLOOKUP(8,X290:Y305,2,0)</f>
        <v>1</v>
      </c>
      <c r="W297" s="95">
        <v>8</v>
      </c>
      <c r="X297" s="95">
        <f t="shared" si="179"/>
        <v>8</v>
      </c>
      <c r="Y297" s="95">
        <f t="shared" si="180"/>
        <v>1</v>
      </c>
      <c r="Z297" s="95">
        <f t="shared" si="181"/>
        <v>0</v>
      </c>
    </row>
    <row r="298" spans="1:26">
      <c r="A298" s="95">
        <v>9</v>
      </c>
      <c r="B298" s="95" t="str">
        <f>Singles!Q103</f>
        <v>PEREIRA 6-3 6-2</v>
      </c>
      <c r="C298" s="100" t="str">
        <f>IF(OR(LEFT(B298,LEN(B$10))=B$10,LEFT(B298,LEN(C$10))=C$10,LEN(B298)&lt;2),"","Wrong pick")</f>
        <v/>
      </c>
      <c r="G298" s="95" t="str">
        <f>IF(B298=0,"",IF(LEFT(B298,LEN(B$10))=B$10,B$10,C$10))</f>
        <v>pereira</v>
      </c>
      <c r="H298" s="95" t="str">
        <f t="shared" si="171"/>
        <v>2-0</v>
      </c>
      <c r="J298" s="97">
        <f>Singles!H$11</f>
        <v>1</v>
      </c>
      <c r="K298" s="95" t="str">
        <f t="shared" si="172"/>
        <v>PTS</v>
      </c>
      <c r="L298" s="95" t="str">
        <f t="shared" si="173"/>
        <v>6-3 6-2</v>
      </c>
      <c r="M298" s="95" t="str">
        <f t="shared" si="174"/>
        <v>63 62</v>
      </c>
      <c r="N298" s="95" t="str">
        <f t="shared" si="175"/>
        <v>63 62</v>
      </c>
      <c r="O298" s="95" t="str">
        <f t="shared" si="176"/>
        <v>63 62</v>
      </c>
      <c r="P298" s="95" t="str">
        <f t="shared" si="177"/>
        <v>63 62</v>
      </c>
      <c r="Q298" s="95">
        <f>IF(AND(G298=T$10,LEN(G298)&gt;1),1,0)</f>
        <v>0</v>
      </c>
      <c r="R298" s="97">
        <f>Singles!D$11</f>
        <v>9</v>
      </c>
      <c r="S298" s="95">
        <f>IF(AND(H298=H$10,LEN(H298)&gt;1,Q298=1),1,0)</f>
        <v>0</v>
      </c>
      <c r="T298" s="95" t="str">
        <f t="shared" si="178"/>
        <v>No</v>
      </c>
      <c r="U298" s="95" t="str">
        <f>IF(T298="Winner",IF(V298&gt;V280,B289,B271),"")</f>
        <v/>
      </c>
      <c r="V298" s="97">
        <f>VLOOKUP(9,X290:Y305,2,0)</f>
        <v>1</v>
      </c>
      <c r="W298" s="95">
        <v>9</v>
      </c>
      <c r="X298" s="95">
        <f t="shared" si="179"/>
        <v>9</v>
      </c>
      <c r="Y298" s="95">
        <f t="shared" si="180"/>
        <v>1</v>
      </c>
      <c r="Z298" s="95">
        <f t="shared" si="181"/>
        <v>0</v>
      </c>
    </row>
    <row r="299" spans="1:26">
      <c r="A299" s="95">
        <v>10</v>
      </c>
      <c r="B299" s="95" t="str">
        <f>Singles!Q104</f>
        <v>COLLINARI 6-3 6-4</v>
      </c>
      <c r="C299" s="100" t="str">
        <f>IF(OR(LEFT(B299,LEN(B$11))=B$11,LEFT(B299,LEN(C$11))=C$11,LEN(B299)&lt;2),"","Wrong pick")</f>
        <v/>
      </c>
      <c r="G299" s="95" t="str">
        <f>IF(B299=0,"",IF(LEFT(B299,LEN(B$11))=B$11,B$11,C$11))</f>
        <v>collinari</v>
      </c>
      <c r="H299" s="95" t="str">
        <f t="shared" si="171"/>
        <v>2-0</v>
      </c>
      <c r="J299" s="97">
        <f>Singles!H$12</f>
        <v>1</v>
      </c>
      <c r="K299" s="95" t="str">
        <f t="shared" si="172"/>
        <v>PTS</v>
      </c>
      <c r="L299" s="95" t="str">
        <f t="shared" si="173"/>
        <v>6-3 6-4</v>
      </c>
      <c r="M299" s="95" t="str">
        <f t="shared" si="174"/>
        <v>63 64</v>
      </c>
      <c r="N299" s="95" t="str">
        <f t="shared" si="175"/>
        <v>63 64</v>
      </c>
      <c r="O299" s="95" t="str">
        <f t="shared" si="176"/>
        <v>63 64</v>
      </c>
      <c r="P299" s="95" t="str">
        <f t="shared" si="177"/>
        <v>63 64</v>
      </c>
      <c r="Q299" s="95">
        <f>IF(AND(G299=T$11,LEN(G299)&gt;1),1,0)</f>
        <v>0</v>
      </c>
      <c r="R299" s="97">
        <f>Singles!D$12</f>
        <v>10</v>
      </c>
      <c r="S299" s="95">
        <f>IF(AND(H299=H$11,LEN(H299)&gt;1,Q299=1),1,0)</f>
        <v>0</v>
      </c>
      <c r="T299" s="95" t="str">
        <f t="shared" si="178"/>
        <v>No</v>
      </c>
      <c r="U299" s="95" t="str">
        <f>IF(T299="Winner",IF(V299&gt;V281,B289,B271),"")</f>
        <v/>
      </c>
      <c r="V299" s="97">
        <f>VLOOKUP(10,X290:Y305,2,0)</f>
        <v>1</v>
      </c>
      <c r="W299" s="95">
        <v>10</v>
      </c>
      <c r="X299" s="95">
        <f t="shared" si="179"/>
        <v>10</v>
      </c>
      <c r="Y299" s="95">
        <f t="shared" si="180"/>
        <v>1</v>
      </c>
      <c r="Z299" s="95">
        <f t="shared" si="181"/>
        <v>0</v>
      </c>
    </row>
    <row r="300" spans="1:26">
      <c r="A300" s="95">
        <v>11</v>
      </c>
      <c r="B300" s="95" t="str">
        <f>Singles!Q105</f>
        <v>GINER 6-4 6-2</v>
      </c>
      <c r="C300" s="100" t="str">
        <f>IF(OR(LEFT(B300,LEN(B$12))=B$12,LEFT(B300,LEN(C$12))=C$12,LEN(B300)&lt;2),"","Wrong pick")</f>
        <v/>
      </c>
      <c r="G300" s="95" t="str">
        <f>IF(B300=0,"",IF(LEFT(B300,LEN(B$12))=B$12,B$12,C$12))</f>
        <v>giner</v>
      </c>
      <c r="H300" s="95" t="str">
        <f t="shared" si="171"/>
        <v>2-0</v>
      </c>
      <c r="J300" s="97">
        <f>Singles!H$13</f>
        <v>1</v>
      </c>
      <c r="K300" s="95" t="str">
        <f t="shared" si="172"/>
        <v>PTS</v>
      </c>
      <c r="L300" s="95" t="str">
        <f t="shared" si="173"/>
        <v>6-4 6-2</v>
      </c>
      <c r="M300" s="95" t="str">
        <f t="shared" si="174"/>
        <v>64 62</v>
      </c>
      <c r="N300" s="95" t="str">
        <f t="shared" si="175"/>
        <v>64 62</v>
      </c>
      <c r="O300" s="95" t="str">
        <f t="shared" si="176"/>
        <v>64 62</v>
      </c>
      <c r="P300" s="95" t="str">
        <f t="shared" si="177"/>
        <v>64 62</v>
      </c>
      <c r="Q300" s="95">
        <f>IF(AND(G300=T$12,LEN(G300)&gt;1),1,0)</f>
        <v>0</v>
      </c>
      <c r="R300" s="97">
        <f>Singles!D$13</f>
        <v>11</v>
      </c>
      <c r="S300" s="95">
        <f>IF(AND(H300=H$12,LEN(H300)&gt;1,Q300=1),1,0)</f>
        <v>0</v>
      </c>
      <c r="T300" s="95" t="str">
        <f t="shared" si="178"/>
        <v>No</v>
      </c>
      <c r="U300" s="95" t="str">
        <f>IF(T300="Winner",IF(V300&gt;V282,B289,B271),"")</f>
        <v/>
      </c>
      <c r="V300" s="97">
        <f>VLOOKUP(11,X290:Y305,2,0)</f>
        <v>1</v>
      </c>
      <c r="W300" s="95">
        <v>11</v>
      </c>
      <c r="X300" s="95">
        <f t="shared" si="179"/>
        <v>11</v>
      </c>
      <c r="Y300" s="95">
        <f t="shared" si="180"/>
        <v>1</v>
      </c>
      <c r="Z300" s="95">
        <f t="shared" si="181"/>
        <v>0</v>
      </c>
    </row>
    <row r="301" spans="1:26">
      <c r="A301" s="95">
        <v>12</v>
      </c>
      <c r="B301" s="95" t="str">
        <f>Singles!Q106</f>
        <v>GALDON 7-6 6-4</v>
      </c>
      <c r="C301" s="100" t="str">
        <f>IF(OR(LEFT(B301,LEN(B$13))=B$13,LEFT(B301,LEN(C$13))=C$13,LEN(B301)&lt;2),"","Wrong pick")</f>
        <v/>
      </c>
      <c r="G301" s="95" t="str">
        <f>IF(B301=0,"",IF(LEFT(B301,LEN(B$13))=B$13,B$13,C$13))</f>
        <v>galdon</v>
      </c>
      <c r="H301" s="95" t="str">
        <f t="shared" si="171"/>
        <v>2-0</v>
      </c>
      <c r="J301" s="97">
        <f>Singles!H$14</f>
        <v>1</v>
      </c>
      <c r="K301" s="95" t="str">
        <f t="shared" si="172"/>
        <v>PTS</v>
      </c>
      <c r="L301" s="95" t="str">
        <f t="shared" si="173"/>
        <v>7-6 6-4</v>
      </c>
      <c r="M301" s="95" t="str">
        <f t="shared" si="174"/>
        <v>76 64</v>
      </c>
      <c r="N301" s="95" t="str">
        <f t="shared" si="175"/>
        <v>76 64</v>
      </c>
      <c r="O301" s="95" t="str">
        <f t="shared" si="176"/>
        <v>76 64</v>
      </c>
      <c r="P301" s="95" t="str">
        <f t="shared" si="177"/>
        <v>76 64</v>
      </c>
      <c r="Q301" s="95">
        <f>IF(AND(G301=T$13,LEN(G301)&gt;1),1,0)</f>
        <v>0</v>
      </c>
      <c r="R301" s="97">
        <f>Singles!D$14</f>
        <v>12</v>
      </c>
      <c r="S301" s="95">
        <f>IF(AND(H301=H$13,LEN(H301)&gt;1,Q301=1),1,0)</f>
        <v>0</v>
      </c>
      <c r="T301" s="95" t="str">
        <f t="shared" si="178"/>
        <v>No</v>
      </c>
      <c r="U301" s="95" t="str">
        <f>IF(T301="Winner",IF(V301&gt;V283,B289,B271),"")</f>
        <v/>
      </c>
      <c r="V301" s="97">
        <f>VLOOKUP(12,X290:Y305,2,0)</f>
        <v>1</v>
      </c>
      <c r="W301" s="95">
        <v>12</v>
      </c>
      <c r="X301" s="95">
        <f t="shared" si="179"/>
        <v>12</v>
      </c>
      <c r="Y301" s="95">
        <f t="shared" si="180"/>
        <v>1</v>
      </c>
      <c r="Z301" s="95">
        <f t="shared" si="181"/>
        <v>0</v>
      </c>
    </row>
    <row r="302" spans="1:26">
      <c r="A302" s="95">
        <v>13</v>
      </c>
      <c r="B302" s="95" t="str">
        <f>Singles!Q107</f>
        <v>LOBKOV 6-2 6-1</v>
      </c>
      <c r="C302" s="100" t="str">
        <f>IF(OR(LEFT(B302,LEN(B$14))=B$14,LEFT(B302,LEN(C$14))=C$14,LEN(B302)&lt;2),"","Wrong pick")</f>
        <v/>
      </c>
      <c r="G302" s="95" t="str">
        <f>IF(B302=0,"",IF(LEFT(B302,LEN(B$14))=B$14,B$14,C$14))</f>
        <v>lobkov</v>
      </c>
      <c r="H302" s="95" t="str">
        <f t="shared" si="171"/>
        <v>2-0</v>
      </c>
      <c r="J302" s="97">
        <f>Singles!H$15</f>
        <v>1</v>
      </c>
      <c r="K302" s="95" t="str">
        <f t="shared" si="172"/>
        <v>PTS</v>
      </c>
      <c r="L302" s="95" t="str">
        <f t="shared" si="173"/>
        <v>6-2 6-1</v>
      </c>
      <c r="M302" s="95" t="str">
        <f t="shared" si="174"/>
        <v>62 61</v>
      </c>
      <c r="N302" s="95" t="str">
        <f t="shared" si="175"/>
        <v>62 61</v>
      </c>
      <c r="O302" s="95" t="str">
        <f t="shared" si="176"/>
        <v>62 61</v>
      </c>
      <c r="P302" s="95" t="str">
        <f t="shared" si="177"/>
        <v>62 61</v>
      </c>
      <c r="Q302" s="95">
        <f>IF(AND(G302=T$14,LEN(G302)&gt;1),1,0)</f>
        <v>0</v>
      </c>
      <c r="R302" s="97">
        <f>Singles!D$15</f>
        <v>13</v>
      </c>
      <c r="S302" s="95">
        <f>IF(AND(H302=H$14,LEN(H302)&gt;1,Q302=1),1,0)</f>
        <v>0</v>
      </c>
      <c r="T302" s="95" t="str">
        <f t="shared" si="178"/>
        <v>No</v>
      </c>
      <c r="U302" s="95" t="str">
        <f>IF(T302="Winner",IF(V302&gt;V284,B289,B271),"")</f>
        <v/>
      </c>
      <c r="V302" s="97">
        <f>VLOOKUP(13,X290:Y305,2,0)</f>
        <v>1</v>
      </c>
      <c r="W302" s="95">
        <v>13</v>
      </c>
      <c r="X302" s="95">
        <f t="shared" si="179"/>
        <v>13</v>
      </c>
      <c r="Y302" s="95">
        <f t="shared" si="180"/>
        <v>1</v>
      </c>
      <c r="Z302" s="95">
        <f t="shared" si="181"/>
        <v>0</v>
      </c>
    </row>
    <row r="303" spans="1:26">
      <c r="A303" s="95">
        <v>14</v>
      </c>
      <c r="B303" s="95" t="str">
        <f>Singles!Q108</f>
        <v>SANTOS 6-4 6-3</v>
      </c>
      <c r="C303" s="100" t="str">
        <f>IF(OR(LEFT(B303,LEN(B$15))=B$15,LEFT(B303,LEN(C$15))=C$15,LEN(B303)&lt;2),"","Wrong pick")</f>
        <v/>
      </c>
      <c r="G303" s="95" t="str">
        <f>IF(B303=0,"",IF(LEFT(B303,LEN(B$15))=B$15,B$15,C$15))</f>
        <v>santos</v>
      </c>
      <c r="H303" s="95" t="str">
        <f t="shared" si="171"/>
        <v>2-0</v>
      </c>
      <c r="J303" s="97">
        <f>Singles!H$16</f>
        <v>1</v>
      </c>
      <c r="K303" s="95" t="str">
        <f t="shared" si="172"/>
        <v>PTS</v>
      </c>
      <c r="L303" s="95" t="str">
        <f t="shared" si="173"/>
        <v>6-4 6-3</v>
      </c>
      <c r="M303" s="95" t="str">
        <f t="shared" si="174"/>
        <v>64 63</v>
      </c>
      <c r="N303" s="95" t="str">
        <f t="shared" si="175"/>
        <v>64 63</v>
      </c>
      <c r="O303" s="95" t="str">
        <f t="shared" si="176"/>
        <v>64 63</v>
      </c>
      <c r="P303" s="95" t="str">
        <f t="shared" si="177"/>
        <v>64 63</v>
      </c>
      <c r="Q303" s="95">
        <f>IF(AND(G303=T$15,LEN(G303)&gt;1),1,0)</f>
        <v>0</v>
      </c>
      <c r="R303" s="97">
        <f>Singles!D$16</f>
        <v>14</v>
      </c>
      <c r="S303" s="95">
        <f>IF(AND(H303=H$15,LEN(H303)&gt;1,Q303=1),1,0)</f>
        <v>0</v>
      </c>
      <c r="T303" s="95" t="str">
        <f t="shared" si="178"/>
        <v>No</v>
      </c>
      <c r="U303" s="95" t="str">
        <f>IF(T303="Winner",IF(V303&gt;V285,B289,B271),"")</f>
        <v/>
      </c>
      <c r="V303" s="97">
        <f>VLOOKUP(14,X290:Y305,2,0)</f>
        <v>1</v>
      </c>
      <c r="W303" s="95">
        <v>14</v>
      </c>
      <c r="X303" s="95">
        <f t="shared" si="179"/>
        <v>14</v>
      </c>
      <c r="Y303" s="95">
        <f t="shared" si="180"/>
        <v>1</v>
      </c>
      <c r="Z303" s="95">
        <f t="shared" si="181"/>
        <v>0</v>
      </c>
    </row>
    <row r="304" spans="1:26">
      <c r="A304" s="95">
        <v>15</v>
      </c>
      <c r="B304" s="95" t="str">
        <f>Singles!Q109</f>
        <v>SANTOS 6-4 6-2</v>
      </c>
      <c r="C304" s="100" t="str">
        <f>IF(OR(LEFT(B304,LEN(B$16))=B$16,LEFT(B304,LEN(C$16))=C$16,LEN(B304)&lt;2),"","Wrong pick")</f>
        <v/>
      </c>
      <c r="G304" s="95" t="str">
        <f>IF(B304=0,"",IF(LEFT(B304,LEN(B$16))=B$16,B$16,C$16))</f>
        <v>santos</v>
      </c>
      <c r="H304" s="95" t="str">
        <f t="shared" si="171"/>
        <v>2-0</v>
      </c>
      <c r="J304" s="97">
        <f>Singles!H$17</f>
        <v>1</v>
      </c>
      <c r="K304" s="95" t="str">
        <f t="shared" si="172"/>
        <v>PTS</v>
      </c>
      <c r="L304" s="95" t="str">
        <f t="shared" si="173"/>
        <v>6-4 6-2</v>
      </c>
      <c r="M304" s="95" t="str">
        <f t="shared" si="174"/>
        <v>64 62</v>
      </c>
      <c r="N304" s="95" t="str">
        <f t="shared" si="175"/>
        <v>64 62</v>
      </c>
      <c r="O304" s="95" t="str">
        <f t="shared" si="176"/>
        <v>64 62</v>
      </c>
      <c r="P304" s="95" t="str">
        <f t="shared" si="177"/>
        <v>64 62</v>
      </c>
      <c r="Q304" s="95">
        <f>IF(AND(G304=T$16,LEN(G304)&gt;1),1,0)</f>
        <v>0</v>
      </c>
      <c r="R304" s="97">
        <f>Singles!D$17</f>
        <v>15</v>
      </c>
      <c r="S304" s="95">
        <f>IF(AND(H304=H$16,LEN(H304)&gt;1,Q304=1),1,0)</f>
        <v>0</v>
      </c>
      <c r="T304" s="95" t="str">
        <f t="shared" si="178"/>
        <v>No</v>
      </c>
      <c r="U304" s="95" t="str">
        <f>IF(T304="Winner",IF(V304&gt;V286,B289,B271),"")</f>
        <v/>
      </c>
      <c r="V304" s="97">
        <f>VLOOKUP(15,X290:Y305,2,0)</f>
        <v>1</v>
      </c>
      <c r="W304" s="95">
        <v>15</v>
      </c>
      <c r="X304" s="95">
        <f t="shared" si="179"/>
        <v>15</v>
      </c>
      <c r="Y304" s="95">
        <f t="shared" si="180"/>
        <v>1</v>
      </c>
      <c r="Z304" s="95">
        <f t="shared" si="181"/>
        <v>0</v>
      </c>
    </row>
    <row r="305" spans="1:26">
      <c r="A305" s="95">
        <v>16</v>
      </c>
      <c r="B305" s="95" t="str">
        <f>Singles!Q110</f>
        <v>LOJDA 6-3 6-1</v>
      </c>
      <c r="C305" s="100" t="str">
        <f>IF(OR(LEFT(B305,LEN(B$17))=B$17,LEFT(B305,LEN(C$17))=C$17,LEN(B305)&lt;2),"","Wrong pick")</f>
        <v/>
      </c>
      <c r="G305" s="95" t="str">
        <f>IF(B305=0,"",IF(LEFT(B305,LEN(B$17))=B$17,B$17,C$17))</f>
        <v>lojda</v>
      </c>
      <c r="H305" s="95" t="str">
        <f t="shared" si="171"/>
        <v>2-0</v>
      </c>
      <c r="J305" s="97">
        <f>Singles!H$18</f>
        <v>1</v>
      </c>
      <c r="K305" s="95" t="str">
        <f t="shared" si="172"/>
        <v>PTS</v>
      </c>
      <c r="L305" s="95" t="str">
        <f t="shared" si="173"/>
        <v>6-3 6-1</v>
      </c>
      <c r="M305" s="95" t="str">
        <f t="shared" si="174"/>
        <v>63 61</v>
      </c>
      <c r="N305" s="95" t="str">
        <f t="shared" si="175"/>
        <v>63 61</v>
      </c>
      <c r="O305" s="95" t="str">
        <f t="shared" si="176"/>
        <v>63 61</v>
      </c>
      <c r="P305" s="95" t="str">
        <f t="shared" si="177"/>
        <v>63 61</v>
      </c>
      <c r="Q305" s="95">
        <f>IF(AND(G305=T$17,LEN(G305)&gt;1),1,0)</f>
        <v>0</v>
      </c>
      <c r="R305" s="97">
        <f>Singles!D$18</f>
        <v>16</v>
      </c>
      <c r="S305" s="95">
        <f>IF(AND(H305=H$17,LEN(H305)&gt;1,Q305=1),1,0)</f>
        <v>0</v>
      </c>
      <c r="T305" s="95" t="str">
        <f t="shared" si="178"/>
        <v>No</v>
      </c>
      <c r="U305" s="95" t="str">
        <f>IF(T305="Winner",IF(V305&gt;V287,B289,B271),"")</f>
        <v/>
      </c>
      <c r="V305" s="97">
        <f>VLOOKUP(16,X290:Y305,2,0)</f>
        <v>1</v>
      </c>
      <c r="W305" s="95">
        <v>16</v>
      </c>
      <c r="X305" s="95">
        <f t="shared" si="179"/>
        <v>16</v>
      </c>
      <c r="Y305" s="95">
        <f t="shared" si="180"/>
        <v>1</v>
      </c>
      <c r="Z305" s="95">
        <f t="shared" si="181"/>
        <v>0</v>
      </c>
    </row>
    <row r="306" spans="1:26">
      <c r="T306" s="95" t="s">
        <v>89</v>
      </c>
      <c r="U306" s="95" t="s">
        <v>125</v>
      </c>
      <c r="W306" s="95">
        <v>17</v>
      </c>
    </row>
    <row r="307" spans="1:26">
      <c r="A307" s="95" t="e">
        <f>IF(LEN(VLOOKUP(B307,Singles!$A$2:$B$33,2,0))&gt;0,VLOOKUP(B307,Singles!$A$2:$B$33,2,0),"")</f>
        <v>#N/A</v>
      </c>
      <c r="B307" s="96">
        <f>Singles!B112</f>
        <v>0</v>
      </c>
      <c r="C307" s="96">
        <v>17</v>
      </c>
      <c r="D307" s="95" t="e">
        <f>VLOOKUP(B307,Singles!$A$2:$C$33,3,0)</f>
        <v>#N/A</v>
      </c>
      <c r="J307" s="95" t="s">
        <v>88</v>
      </c>
      <c r="Q307" s="95" t="s">
        <v>121</v>
      </c>
      <c r="S307" s="95" t="s">
        <v>122</v>
      </c>
      <c r="T307" s="95" t="e">
        <f>IF(LEN(A307)&gt;0,"("&amp;A307&amp;") "&amp;B307,B307)&amp;IF(LEN(D307)&gt;1," ("&amp;D307&amp;")","")</f>
        <v>#N/A</v>
      </c>
      <c r="V307" s="95" t="s">
        <v>123</v>
      </c>
      <c r="Y307" s="95" t="s">
        <v>123</v>
      </c>
      <c r="Z307" s="95" t="s">
        <v>124</v>
      </c>
    </row>
    <row r="308" spans="1:26">
      <c r="A308" s="95">
        <v>1</v>
      </c>
      <c r="B308" s="95">
        <f>Singles!B113</f>
        <v>0</v>
      </c>
      <c r="C308" s="99" t="str">
        <f>IF(OR(LEFT(B308,LEN(B$2))=B$2,LEFT(B308,LEN(C$2))=C$2,LEN(B308)&lt;2),"","Wrong pick")</f>
        <v/>
      </c>
      <c r="D308" s="95">
        <f t="shared" ref="D308:D323" ca="1" si="182">IF(OR(G308=G326,INDIRECT(ADDRESS(A308+1,6,1))&gt;0),0,1)</f>
        <v>0</v>
      </c>
      <c r="E308" s="95" t="str">
        <f ca="1">IF(AND(D308=1,J308=$I$2),G308&amp;", ","")&amp;IF(AND(D309=1,J309=$I$2),G309&amp;", ","")&amp;IF(AND(D310=1,J310=$I$2),G310&amp;", ","")&amp;IF(AND(D311=1,J311=$I$2),G311&amp;", ","")&amp;IF(AND(D312=1,J312=$I$2),G312&amp;", ","")&amp;IF(AND(D313=1,J313=$I$2),G313&amp;", ","")&amp;IF(AND(D314=1,J314=$I$2),G314&amp;", ","")&amp;IF(AND(D315=1,J315=$I$2),G315&amp;", ","")&amp;IF(AND(D316=1,J316=$I$2),G316&amp;", ","")&amp;IF(AND(D317=1,J317=$I$2),G317&amp;", ","")&amp;IF(AND(D318=1,J318=$I$2),G318&amp;", ","")&amp;IF(AND(D319=1,J319=$I$2),G319&amp;", ","")&amp;IF(AND(D320=1,J320=$I$2),G320&amp;", ","")&amp;IF(AND(D321=1,J321=$I$2),G321&amp;", ","")&amp;IF(AND(D322=1,J322=$I$2),G322&amp;", ","")&amp;IF(AND(D323=1,J323=$I$2),G323&amp;", ","")</f>
        <v/>
      </c>
      <c r="F308" s="95" t="str">
        <f>IF(AND(SUM(Z308:Z323)=$I$4,NOT(B307="Bye")),"Missing picks from "&amp;B307&amp;" ","")</f>
        <v xml:space="preserve">Missing picks from 0 </v>
      </c>
      <c r="G308" s="95" t="str">
        <f>IF(B308=0,"",IF(LEFT(B308,LEN(B$2))=B$2,B$2,C$2))</f>
        <v/>
      </c>
      <c r="H308" s="95" t="str">
        <f t="shared" ref="H308:H323" si="183">IF(L308="","",IF(K308="PTS",IF(LEN(O308)&lt;8,"2-0","2-1"),LEFT(O308,1)&amp;"-"&amp;RIGHT(O308,1)))</f>
        <v>0-0</v>
      </c>
      <c r="I308" s="95" t="str">
        <f ca="1">IF(AND(J308=Singles!$H$21,INDIRECT(ADDRESS(A308+1,6,1))=0,NOT(INDIRECT(ADDRESS(A308+1,5,1))="")),IF(D308=0,IF(H308=H326,"",G308&amp;" "&amp;H308&amp;" v "&amp;H326&amp;", "),G308&amp;" "&amp;H308&amp;" vs. "&amp;G326&amp;" "&amp;H326&amp;", "),"")</f>
        <v/>
      </c>
      <c r="J308" s="97">
        <f>Singles!H$3</f>
        <v>1</v>
      </c>
      <c r="K308" s="95" t="str">
        <f t="shared" ref="K308:K323" si="184">IF(LEN(L308)&gt;0,IF(LEN(O308)&lt;4,"SR","PTS"),"")</f>
        <v>SR</v>
      </c>
      <c r="L308" s="95" t="str">
        <f t="shared" ref="L308:L323" si="185">TRIM(RIGHT(B308,LEN(B308)-LEN(G308)))</f>
        <v>0</v>
      </c>
      <c r="M308" s="95" t="str">
        <f t="shared" ref="M308:M323" si="186">SUBSTITUTE(L308,"-","")</f>
        <v>0</v>
      </c>
      <c r="N308" s="95" t="str">
        <f t="shared" ref="N308:N323" si="187">SUBSTITUTE(M308,","," ")</f>
        <v>0</v>
      </c>
      <c r="O308" s="95" t="str">
        <f t="shared" ref="O308:O323" si="188">IF(AND(LEN(TRIM(SUBSTITUTE(P308,"/","")))&gt;6,OR(LEFT(TRIM(SUBSTITUTE(P308,"/","")),2)="20",LEFT(TRIM(SUBSTITUTE(P308,"/","")),2)="21")),RIGHT(TRIM(SUBSTITUTE(P308,"/","")),LEN(TRIM(SUBSTITUTE(P308,"/","")))-3),TRIM(SUBSTITUTE(P308,"/","")))</f>
        <v>0</v>
      </c>
      <c r="P308" s="95" t="str">
        <f t="shared" ref="P308:P323" si="189">SUBSTITUTE(N308,":","")</f>
        <v>0</v>
      </c>
      <c r="Q308" s="95">
        <f>IF(AND(G308=T$2,LEN(G308)&gt;1),1,0)</f>
        <v>0</v>
      </c>
      <c r="R308" s="97">
        <f>Singles!D$3</f>
        <v>1</v>
      </c>
      <c r="S308" s="95">
        <f>IF(AND(H308=H$2,LEN(H308)&gt;1,Q308=1),1,0)</f>
        <v>0</v>
      </c>
      <c r="T308" s="95" t="str">
        <f ca="1">" SR Differences: "&amp;IF(LEN(I308&amp;I309&amp;I310&amp;I311&amp;I312&amp;I313&amp;I314&amp;I315&amp;I316&amp;I317&amp;I318&amp;I319&amp;I320&amp;I321&amp;I322&amp;I323)&lt;3,"None..",I308&amp;I309&amp;I310&amp;I311&amp;I312&amp;I313&amp;I314&amp;I315&amp;I316&amp;I317&amp;I318&amp;I319&amp;I320&amp;I321&amp;I322&amp;I323)</f>
        <v xml:space="preserve"> SR Differences: None..</v>
      </c>
      <c r="V308" s="97">
        <f>VLOOKUP(1,X308:Y323,2,0)</f>
        <v>1</v>
      </c>
      <c r="X308" s="95">
        <f t="shared" ref="X308:X323" si="190">R308</f>
        <v>1</v>
      </c>
      <c r="Y308" s="95">
        <f t="shared" ref="Y308:Y323" si="191">IF(Q308=1,IF(S308=1,4,3),IF(H308="2-1",2,1))</f>
        <v>1</v>
      </c>
      <c r="Z308" s="95">
        <f t="shared" ref="Z308:Z323" si="192">IF(AND($I$2=J308,B308=0),1,0)</f>
        <v>1</v>
      </c>
    </row>
    <row r="309" spans="1:26">
      <c r="A309" s="95">
        <v>2</v>
      </c>
      <c r="B309" s="95">
        <f>Singles!B114</f>
        <v>0</v>
      </c>
      <c r="C309" s="100" t="str">
        <f>IF(OR(LEFT(B309,LEN(B$3))=B$3,LEFT(B309,LEN(C$3))=C$3,LEN(B309)&lt;2),"","Wrong pick")</f>
        <v/>
      </c>
      <c r="D309" s="95">
        <f t="shared" ca="1" si="182"/>
        <v>0</v>
      </c>
      <c r="G309" s="95" t="str">
        <f>IF(B309=0,"",IF(LEFT(B309,LEN(B$3))=B$3,B$3,C$3))</f>
        <v/>
      </c>
      <c r="H309" s="95" t="str">
        <f t="shared" si="183"/>
        <v>0-0</v>
      </c>
      <c r="I309" s="95" t="str">
        <f ca="1">IF(AND(J309=Singles!$H$21,INDIRECT(ADDRESS(A309+1,6,1))=0,NOT(INDIRECT(ADDRESS(A309+1,5,1))="")),IF(D309=0,IF(H309=H327,"",G309&amp;" "&amp;H309&amp;" v "&amp;H327&amp;", "),G309&amp;" "&amp;H309&amp;" vs. "&amp;G327&amp;" "&amp;H327&amp;", "),"")</f>
        <v/>
      </c>
      <c r="J309" s="97">
        <f>Singles!H$4</f>
        <v>1</v>
      </c>
      <c r="K309" s="95" t="str">
        <f t="shared" si="184"/>
        <v>SR</v>
      </c>
      <c r="L309" s="95" t="str">
        <f t="shared" si="185"/>
        <v>0</v>
      </c>
      <c r="M309" s="95" t="str">
        <f t="shared" si="186"/>
        <v>0</v>
      </c>
      <c r="N309" s="95" t="str">
        <f t="shared" si="187"/>
        <v>0</v>
      </c>
      <c r="O309" s="95" t="str">
        <f t="shared" si="188"/>
        <v>0</v>
      </c>
      <c r="P309" s="95" t="str">
        <f t="shared" si="189"/>
        <v>0</v>
      </c>
      <c r="Q309" s="95">
        <f>IF(AND(G309=T$3,LEN(G309)&gt;1),1,0)</f>
        <v>0</v>
      </c>
      <c r="R309" s="97">
        <f>Singles!D$4</f>
        <v>2</v>
      </c>
      <c r="S309" s="95">
        <f>IF(AND(H309=H$3,LEN(H309)&gt;1,Q309=1),1,0)</f>
        <v>0</v>
      </c>
      <c r="T309" s="95" t="str">
        <f ca="1">IF(T310&gt;0,LEFT(E308,LEN(E308)-2)&amp;" vs. "&amp;LEFT(E326,LEN(E326)-2),IF(SUMIF(Singles!$H$3:$H$18,"="&amp;Singles!$H$21,Singles!$I$3:$I$18)=0,"Same winners;",""))</f>
        <v>Same winners;</v>
      </c>
      <c r="V309" s="97">
        <f>VLOOKUP(2,X308:Y323,2,0)</f>
        <v>1</v>
      </c>
      <c r="X309" s="95">
        <f t="shared" si="190"/>
        <v>2</v>
      </c>
      <c r="Y309" s="95">
        <f t="shared" si="191"/>
        <v>1</v>
      </c>
      <c r="Z309" s="95">
        <f t="shared" si="192"/>
        <v>1</v>
      </c>
    </row>
    <row r="310" spans="1:26">
      <c r="A310" s="95">
        <v>3</v>
      </c>
      <c r="B310" s="95">
        <f>Singles!B115</f>
        <v>0</v>
      </c>
      <c r="C310" s="100" t="str">
        <f>IF(OR(LEFT(B310,LEN(B$4))=B$4,LEFT(B310,LEN(C$4))=C$4,LEN(B310)&lt;2),"","Wrong pick")</f>
        <v/>
      </c>
      <c r="D310" s="95">
        <f t="shared" ca="1" si="182"/>
        <v>0</v>
      </c>
      <c r="G310" s="95" t="str">
        <f>IF(B310=0,"",IF(LEFT(B310,LEN(B$4))=B$4,B$4,C$4))</f>
        <v/>
      </c>
      <c r="H310" s="95" t="str">
        <f t="shared" si="183"/>
        <v>0-0</v>
      </c>
      <c r="I310" s="95" t="str">
        <f ca="1">IF(AND(J310=Singles!$H$21,INDIRECT(ADDRESS(A310+1,6,1))=0,NOT(INDIRECT(ADDRESS(A310+1,5,1))="")),IF(D310=0,IF(H310=H328,"",G310&amp;" "&amp;H310&amp;" v "&amp;H328&amp;", "),G310&amp;" "&amp;H310&amp;" vs. "&amp;G328&amp;" "&amp;H328&amp;", "),"")</f>
        <v/>
      </c>
      <c r="J310" s="97">
        <f>Singles!H$5</f>
        <v>1</v>
      </c>
      <c r="K310" s="95" t="str">
        <f t="shared" si="184"/>
        <v>SR</v>
      </c>
      <c r="L310" s="95" t="str">
        <f t="shared" si="185"/>
        <v>0</v>
      </c>
      <c r="M310" s="95" t="str">
        <f t="shared" si="186"/>
        <v>0</v>
      </c>
      <c r="N310" s="95" t="str">
        <f t="shared" si="187"/>
        <v>0</v>
      </c>
      <c r="O310" s="95" t="str">
        <f t="shared" si="188"/>
        <v>0</v>
      </c>
      <c r="P310" s="95" t="str">
        <f t="shared" si="189"/>
        <v>0</v>
      </c>
      <c r="Q310" s="95">
        <f>IF(AND(G310=T$4,LEN(G310)&gt;1),1,0)</f>
        <v>0</v>
      </c>
      <c r="R310" s="97">
        <f>Singles!D$5</f>
        <v>3</v>
      </c>
      <c r="S310" s="95">
        <f>IF(AND(H310=H$4,LEN(H310)&gt;1,Q310=1),1,0)</f>
        <v>0</v>
      </c>
      <c r="T310" s="101">
        <f ca="1">SUMIF(J308:J323,$I$2,D308:D323)</f>
        <v>0</v>
      </c>
      <c r="V310" s="97">
        <f>VLOOKUP(3,X308:Y323,2,0)</f>
        <v>1</v>
      </c>
      <c r="X310" s="95">
        <f t="shared" si="190"/>
        <v>3</v>
      </c>
      <c r="Y310" s="95">
        <f t="shared" si="191"/>
        <v>1</v>
      </c>
      <c r="Z310" s="95">
        <f t="shared" si="192"/>
        <v>1</v>
      </c>
    </row>
    <row r="311" spans="1:26">
      <c r="A311" s="95">
        <v>4</v>
      </c>
      <c r="B311" s="95">
        <f>Singles!B116</f>
        <v>0</v>
      </c>
      <c r="C311" s="100" t="str">
        <f>IF(OR(LEFT(B311,LEN(B$5))=B$5,LEFT(B311,LEN(C$5))=C$5,LEN(B311)&lt;2),"","Wrong pick")</f>
        <v/>
      </c>
      <c r="D311" s="95">
        <f t="shared" ca="1" si="182"/>
        <v>0</v>
      </c>
      <c r="G311" s="95" t="str">
        <f>IF(B311=0,"",IF(LEFT(B311,LEN(B$5))=B$5,B$5,C$5))</f>
        <v/>
      </c>
      <c r="H311" s="95" t="str">
        <f t="shared" si="183"/>
        <v>0-0</v>
      </c>
      <c r="I311" s="95" t="str">
        <f ca="1">IF(AND(J311=Singles!$H$21,INDIRECT(ADDRESS(A311+1,6,1))=0,NOT(INDIRECT(ADDRESS(A311+1,5,1))="")),IF(D311=0,IF(H311=H329,"",G311&amp;" "&amp;H311&amp;" v "&amp;H329&amp;", "),G311&amp;" "&amp;H311&amp;" vs. "&amp;G329&amp;" "&amp;H329&amp;", "),"")</f>
        <v/>
      </c>
      <c r="J311" s="97">
        <f>Singles!H$6</f>
        <v>1</v>
      </c>
      <c r="K311" s="95" t="str">
        <f t="shared" si="184"/>
        <v>SR</v>
      </c>
      <c r="L311" s="95" t="str">
        <f t="shared" si="185"/>
        <v>0</v>
      </c>
      <c r="M311" s="95" t="str">
        <f t="shared" si="186"/>
        <v>0</v>
      </c>
      <c r="N311" s="95" t="str">
        <f t="shared" si="187"/>
        <v>0</v>
      </c>
      <c r="O311" s="95" t="str">
        <f t="shared" si="188"/>
        <v>0</v>
      </c>
      <c r="P311" s="95" t="str">
        <f t="shared" si="189"/>
        <v>0</v>
      </c>
      <c r="Q311" s="95">
        <f>IF(AND(G311=T$5,LEN(G311)&gt;1),1,0)</f>
        <v>0</v>
      </c>
      <c r="R311" s="97">
        <f>Singles!D$6</f>
        <v>4</v>
      </c>
      <c r="S311" s="95">
        <f>IF(AND(H311=H$5,LEN(H311)&gt;1,Q311=1),1,0)</f>
        <v>0</v>
      </c>
      <c r="T311" s="102" t="e">
        <f>IF(T313&lt;10,"0","")&amp;T313&amp;":"&amp;IF(T314&lt;10,"0","")&amp;T314&amp;" | [b]"&amp;IF(LEN(U311)&gt;0,U311,T307&amp;"[/b] vs. [b]"&amp;T325&amp;"[/b]"&amp;IF(Singles!$H$21&gt;1," (SR "&amp;U313&amp;":"&amp;U314&amp;")","")&amp;" - "&amp;IF(COUNTIF(C308:C341,"=Wrong Pick")&gt;0,"Incorrect pick, probably a spelling mistake",IF(AND(F308="",F326=""),T309&amp;IF(AND(OR(AND(Singles!$H$20&gt;1,Singles!$H$21&lt;Singles!$H$20),MOD(T310+T313+T314,2)=0),NOT(Singles!$H$23="No")),LEFT(T308,LEN(T308)-2),""),F308&amp;F326)))</f>
        <v>#N/A</v>
      </c>
      <c r="U311" s="95" t="str">
        <f>IF(B307="Bye","Bye[/b] vs. [b][color=blue]"&amp;T325&amp;"[/color][/b]",IF(B325="Bye","[color=blue]"&amp;T307&amp;"[/color][/b] vs. [b]Bye[/b]",""))</f>
        <v/>
      </c>
      <c r="V311" s="97">
        <f>VLOOKUP(4,X308:Y323,2,0)</f>
        <v>1</v>
      </c>
      <c r="X311" s="95">
        <f t="shared" si="190"/>
        <v>4</v>
      </c>
      <c r="Y311" s="95">
        <f t="shared" si="191"/>
        <v>1</v>
      </c>
      <c r="Z311" s="95">
        <f t="shared" si="192"/>
        <v>1</v>
      </c>
    </row>
    <row r="312" spans="1:26">
      <c r="A312" s="95">
        <v>5</v>
      </c>
      <c r="B312" s="95">
        <f>Singles!B117</f>
        <v>0</v>
      </c>
      <c r="C312" s="100" t="str">
        <f>IF(OR(LEFT(B312,LEN(B$6))=B$6,LEFT(B312,LEN(C$6))=C$6,LEN(B312)&lt;2),"","Wrong pick")</f>
        <v/>
      </c>
      <c r="D312" s="95">
        <f t="shared" ca="1" si="182"/>
        <v>0</v>
      </c>
      <c r="G312" s="95" t="str">
        <f>IF(B312=0,"",IF(LEFT(B312,LEN(B$6))=B$6,B$6,C$6))</f>
        <v/>
      </c>
      <c r="H312" s="95" t="str">
        <f t="shared" si="183"/>
        <v>0-0</v>
      </c>
      <c r="I312" s="95" t="str">
        <f ca="1">IF(AND(J312=Singles!$H$21,INDIRECT(ADDRESS(A312+1,6,1))=0,NOT(INDIRECT(ADDRESS(A312+1,5,1))="")),IF(D312=0,IF(H312=H330,"",G312&amp;" "&amp;H312&amp;" v "&amp;H330&amp;", "),G312&amp;" "&amp;H312&amp;" vs. "&amp;G330&amp;" "&amp;H330&amp;", "),"")</f>
        <v/>
      </c>
      <c r="J312" s="97">
        <f>Singles!H$7</f>
        <v>1</v>
      </c>
      <c r="K312" s="95" t="str">
        <f t="shared" si="184"/>
        <v>SR</v>
      </c>
      <c r="L312" s="95" t="str">
        <f t="shared" si="185"/>
        <v>0</v>
      </c>
      <c r="M312" s="95" t="str">
        <f t="shared" si="186"/>
        <v>0</v>
      </c>
      <c r="N312" s="95" t="str">
        <f t="shared" si="187"/>
        <v>0</v>
      </c>
      <c r="O312" s="95" t="str">
        <f t="shared" si="188"/>
        <v>0</v>
      </c>
      <c r="P312" s="95" t="str">
        <f t="shared" si="189"/>
        <v>0</v>
      </c>
      <c r="Q312" s="95">
        <f>IF(AND(G312=T$6,LEN(G312)&gt;1),1,0)</f>
        <v>0</v>
      </c>
      <c r="R312" s="97">
        <f>Singles!D$7</f>
        <v>5</v>
      </c>
      <c r="S312" s="95">
        <f>IF(AND(H312=H$6,LEN(H312)&gt;1,Q312=1),1,0)</f>
        <v>0</v>
      </c>
      <c r="T312" s="103" t="str">
        <f>IF(Singles!$H$22=$F$18,IF(T313&gt;T314,B307,IF(T313&lt;T314,B325,IF(U313&gt;U314,B307,IF(U313&lt;U314,B325,T316)))),"No decision yet")</f>
        <v>No decision yet</v>
      </c>
      <c r="U312" s="104" t="e">
        <f>IF(T313&lt;10,"0","")&amp;T313&amp;":"&amp;IF(T314&lt;10,"0","")&amp;T314&amp;" | "&amp;IF(AND(A307&gt;0,A307&lt;33,B307=T312),"[b][color=Blue]"&amp;T307&amp;"[/color][/b]",IF(B307=T312,"[color=Blue]"&amp;T307&amp;"[/color]",IF(AND(A307&gt;0,A307&lt;33),"[b]"&amp;T307&amp;"[/b]",T307)))&amp;" vs. "&amp;IF(AND(A325&gt;0,A325&lt;33,B325=T312),"[b][color=Blue]"&amp;T325&amp;"[/color][/b]",IF(B325=T312,"[color=Blue]"&amp;T325&amp;"[/color]",IF(AND(A325&gt;0,A325&lt;33),"[b]"&amp;T325&amp;"[/b]",T325)))&amp;IF(OR(Singles!$B$40="yes",T313=T314)," #SRs: "&amp;U313&amp;"-"&amp;U314,"")&amp;IF(AND(T313=T314,U313=U314,U316&lt;17,Singles!$H$22=$F$18),", Shootout: SR"&amp;U316,"")</f>
        <v>#N/A</v>
      </c>
      <c r="V312" s="97">
        <f>VLOOKUP(5,X308:Y323,2,0)</f>
        <v>1</v>
      </c>
      <c r="X312" s="95">
        <f t="shared" si="190"/>
        <v>5</v>
      </c>
      <c r="Y312" s="95">
        <f t="shared" si="191"/>
        <v>1</v>
      </c>
      <c r="Z312" s="95">
        <f t="shared" si="192"/>
        <v>1</v>
      </c>
    </row>
    <row r="313" spans="1:26">
      <c r="A313" s="95">
        <v>6</v>
      </c>
      <c r="B313" s="95">
        <f>Singles!B118</f>
        <v>0</v>
      </c>
      <c r="C313" s="100" t="str">
        <f>IF(OR(LEFT(B313,LEN(B$7))=B$7,LEFT(B313,LEN(C$7))=C$7,LEN(B313)&lt;2),"","Wrong pick")</f>
        <v/>
      </c>
      <c r="D313" s="95">
        <f t="shared" ca="1" si="182"/>
        <v>0</v>
      </c>
      <c r="G313" s="95" t="str">
        <f>IF(B313=0,"",IF(LEFT(B313,LEN(B$7))=B$7,B$7,C$7))</f>
        <v/>
      </c>
      <c r="H313" s="95" t="str">
        <f t="shared" si="183"/>
        <v>0-0</v>
      </c>
      <c r="I313" s="95" t="str">
        <f ca="1">IF(AND(J313=Singles!$H$21,INDIRECT(ADDRESS(A313+1,6,1))=0,NOT(INDIRECT(ADDRESS(A313+1,5,1))="")),IF(D313=0,IF(H313=H331,"",G313&amp;" "&amp;H313&amp;" v "&amp;H331&amp;", "),G313&amp;" "&amp;H313&amp;" vs. "&amp;G331&amp;" "&amp;H331&amp;", "),"")</f>
        <v/>
      </c>
      <c r="J313" s="97">
        <f>Singles!H$8</f>
        <v>1</v>
      </c>
      <c r="K313" s="95" t="str">
        <f t="shared" si="184"/>
        <v>SR</v>
      </c>
      <c r="L313" s="95" t="str">
        <f t="shared" si="185"/>
        <v>0</v>
      </c>
      <c r="M313" s="95" t="str">
        <f t="shared" si="186"/>
        <v>0</v>
      </c>
      <c r="N313" s="95" t="str">
        <f t="shared" si="187"/>
        <v>0</v>
      </c>
      <c r="O313" s="95" t="str">
        <f t="shared" si="188"/>
        <v>0</v>
      </c>
      <c r="P313" s="95" t="str">
        <f t="shared" si="189"/>
        <v>0</v>
      </c>
      <c r="Q313" s="95">
        <f>IF(AND(G313=T$7,LEN(G313)&gt;1),1,0)</f>
        <v>0</v>
      </c>
      <c r="R313" s="97">
        <f>Singles!D$8</f>
        <v>6</v>
      </c>
      <c r="S313" s="95">
        <f>IF(AND(H313=H$7,LEN(H313)&gt;1,Q313=1),1,0)</f>
        <v>0</v>
      </c>
      <c r="T313" s="105">
        <f>SUM(Q308:Q323)</f>
        <v>0</v>
      </c>
      <c r="U313" s="97">
        <f>SUM(S308:S323)</f>
        <v>0</v>
      </c>
      <c r="V313" s="97">
        <f>VLOOKUP(6,X308:Y323,2,0)</f>
        <v>1</v>
      </c>
      <c r="X313" s="95">
        <f t="shared" si="190"/>
        <v>6</v>
      </c>
      <c r="Y313" s="95">
        <f t="shared" si="191"/>
        <v>1</v>
      </c>
      <c r="Z313" s="95">
        <f t="shared" si="192"/>
        <v>1</v>
      </c>
    </row>
    <row r="314" spans="1:26">
      <c r="A314" s="95">
        <v>7</v>
      </c>
      <c r="B314" s="95">
        <f>Singles!B119</f>
        <v>0</v>
      </c>
      <c r="C314" s="100" t="str">
        <f>IF(OR(LEFT(B314,LEN(B$8))=B$8,LEFT(B314,LEN(C$8))=C$8,LEN(B314)&lt;2),"","Wrong pick")</f>
        <v/>
      </c>
      <c r="D314" s="95">
        <f t="shared" ca="1" si="182"/>
        <v>0</v>
      </c>
      <c r="G314" s="95" t="str">
        <f>IF(B314=0,"",IF(LEFT(B314,LEN(B$8))=B$8,B$8,C$8))</f>
        <v/>
      </c>
      <c r="H314" s="95" t="str">
        <f t="shared" si="183"/>
        <v>0-0</v>
      </c>
      <c r="I314" s="95" t="str">
        <f ca="1">IF(AND(J314=Singles!$H$21,INDIRECT(ADDRESS(A314+1,6,1))=0,NOT(INDIRECT(ADDRESS(A314+1,5,1))="")),IF(D314=0,IF(H314=H332,"",G314&amp;" "&amp;H314&amp;" v "&amp;H332&amp;", "),G314&amp;" "&amp;H314&amp;" vs. "&amp;G332&amp;" "&amp;H332&amp;", "),"")</f>
        <v/>
      </c>
      <c r="J314" s="97">
        <f>Singles!H$9</f>
        <v>1</v>
      </c>
      <c r="K314" s="95" t="str">
        <f t="shared" si="184"/>
        <v>SR</v>
      </c>
      <c r="L314" s="95" t="str">
        <f t="shared" si="185"/>
        <v>0</v>
      </c>
      <c r="M314" s="95" t="str">
        <f t="shared" si="186"/>
        <v>0</v>
      </c>
      <c r="N314" s="95" t="str">
        <f t="shared" si="187"/>
        <v>0</v>
      </c>
      <c r="O314" s="95" t="str">
        <f t="shared" si="188"/>
        <v>0</v>
      </c>
      <c r="P314" s="95" t="str">
        <f t="shared" si="189"/>
        <v>0</v>
      </c>
      <c r="Q314" s="95">
        <f>IF(AND(G314=T$8,LEN(G314)&gt;1),1,0)</f>
        <v>0</v>
      </c>
      <c r="R314" s="97">
        <f>Singles!D$9</f>
        <v>7</v>
      </c>
      <c r="S314" s="95">
        <f>IF(AND(H314=H$8,LEN(H314)&gt;1,Q314=1),1,0)</f>
        <v>0</v>
      </c>
      <c r="T314" s="105">
        <f>SUM(Q326:Q341)</f>
        <v>0</v>
      </c>
      <c r="U314" s="97">
        <f>SUM(S326:S341)</f>
        <v>0</v>
      </c>
      <c r="V314" s="97">
        <f>VLOOKUP(7,X308:Y323,2,0)</f>
        <v>1</v>
      </c>
      <c r="X314" s="95">
        <f t="shared" si="190"/>
        <v>7</v>
      </c>
      <c r="Y314" s="95">
        <f t="shared" si="191"/>
        <v>1</v>
      </c>
      <c r="Z314" s="95">
        <f t="shared" si="192"/>
        <v>1</v>
      </c>
    </row>
    <row r="315" spans="1:26">
      <c r="A315" s="95">
        <v>8</v>
      </c>
      <c r="B315" s="95">
        <f>Singles!B120</f>
        <v>0</v>
      </c>
      <c r="C315" s="100" t="str">
        <f>IF(OR(LEFT(B315,LEN(B$9))=B$9,LEFT(B315,LEN(C$9))=C$9,LEN(B315)&lt;2),"","Wrong pick")</f>
        <v/>
      </c>
      <c r="D315" s="95">
        <f t="shared" ca="1" si="182"/>
        <v>0</v>
      </c>
      <c r="G315" s="95" t="str">
        <f>IF(B315=0,"",IF(LEFT(B315,LEN(B$9))=B$9,B$9,C$9))</f>
        <v/>
      </c>
      <c r="H315" s="95" t="str">
        <f t="shared" si="183"/>
        <v>0-0</v>
      </c>
      <c r="I315" s="95" t="str">
        <f ca="1">IF(AND(J315=Singles!$H$21,INDIRECT(ADDRESS(A315+1,6,1))=0,NOT(INDIRECT(ADDRESS(A315+1,5,1))="")),IF(D315=0,IF(H315=H333,"",G315&amp;" "&amp;H315&amp;" v "&amp;H333&amp;", "),G315&amp;" "&amp;H315&amp;" vs. "&amp;G333&amp;" "&amp;H333&amp;", "),"")</f>
        <v/>
      </c>
      <c r="J315" s="97">
        <f>Singles!H$10</f>
        <v>1</v>
      </c>
      <c r="K315" s="95" t="str">
        <f t="shared" si="184"/>
        <v>SR</v>
      </c>
      <c r="L315" s="95" t="str">
        <f t="shared" si="185"/>
        <v>0</v>
      </c>
      <c r="M315" s="95" t="str">
        <f t="shared" si="186"/>
        <v>0</v>
      </c>
      <c r="N315" s="95" t="str">
        <f t="shared" si="187"/>
        <v>0</v>
      </c>
      <c r="O315" s="95" t="str">
        <f t="shared" si="188"/>
        <v>0</v>
      </c>
      <c r="P315" s="95" t="str">
        <f t="shared" si="189"/>
        <v>0</v>
      </c>
      <c r="Q315" s="95">
        <f>IF(AND(G315=T$9,LEN(G315)&gt;1),1,0)</f>
        <v>0</v>
      </c>
      <c r="R315" s="97">
        <f>Singles!D$10</f>
        <v>8</v>
      </c>
      <c r="S315" s="95">
        <f>IF(AND(H315=H$9,LEN(H315)&gt;1,Q315=1),1,0)</f>
        <v>0</v>
      </c>
      <c r="V315" s="97">
        <f>VLOOKUP(8,X308:Y323,2,0)</f>
        <v>1</v>
      </c>
      <c r="X315" s="95">
        <f t="shared" si="190"/>
        <v>8</v>
      </c>
      <c r="Y315" s="95">
        <f t="shared" si="191"/>
        <v>1</v>
      </c>
      <c r="Z315" s="95">
        <f t="shared" si="192"/>
        <v>1</v>
      </c>
    </row>
    <row r="316" spans="1:26">
      <c r="A316" s="95">
        <v>9</v>
      </c>
      <c r="B316" s="95">
        <f>Singles!B121</f>
        <v>0</v>
      </c>
      <c r="C316" s="100" t="str">
        <f>IF(OR(LEFT(B316,LEN(B$10))=B$10,LEFT(B316,LEN(C$10))=C$10,LEN(B316)&lt;2),"","Wrong pick")</f>
        <v/>
      </c>
      <c r="D316" s="95">
        <f t="shared" ca="1" si="182"/>
        <v>0</v>
      </c>
      <c r="G316" s="95" t="str">
        <f>IF(B316=0,"",IF(LEFT(B316,LEN(B$10))=B$10,B$10,C$10))</f>
        <v/>
      </c>
      <c r="H316" s="95" t="str">
        <f t="shared" si="183"/>
        <v>0-0</v>
      </c>
      <c r="I316" s="95" t="str">
        <f ca="1">IF(AND(J316=Singles!$H$21,INDIRECT(ADDRESS(A316+1,6,1))=0,NOT(INDIRECT(ADDRESS(A316+1,5,1))="")),IF(D316=0,IF(H316=H334,"",G316&amp;" "&amp;H316&amp;" v "&amp;H334&amp;", "),G316&amp;" "&amp;H316&amp;" vs. "&amp;G334&amp;" "&amp;H334&amp;", "),"")</f>
        <v/>
      </c>
      <c r="J316" s="97">
        <f>Singles!H$11</f>
        <v>1</v>
      </c>
      <c r="K316" s="95" t="str">
        <f t="shared" si="184"/>
        <v>SR</v>
      </c>
      <c r="L316" s="95" t="str">
        <f t="shared" si="185"/>
        <v>0</v>
      </c>
      <c r="M316" s="95" t="str">
        <f t="shared" si="186"/>
        <v>0</v>
      </c>
      <c r="N316" s="95" t="str">
        <f t="shared" si="187"/>
        <v>0</v>
      </c>
      <c r="O316" s="95" t="str">
        <f t="shared" si="188"/>
        <v>0</v>
      </c>
      <c r="P316" s="95" t="str">
        <f t="shared" si="189"/>
        <v>0</v>
      </c>
      <c r="Q316" s="95">
        <f>IF(AND(G316=T$10,LEN(G316)&gt;1),1,0)</f>
        <v>0</v>
      </c>
      <c r="R316" s="97">
        <f>Singles!D$11</f>
        <v>9</v>
      </c>
      <c r="S316" s="95">
        <f>IF(AND(H316=H$10,LEN(H316)&gt;1,Q316=1),1,0)</f>
        <v>0</v>
      </c>
      <c r="T316" s="95" t="str">
        <f>VLOOKUP("Winner",T326:U342,2,0)</f>
        <v>Tied; see PTS</v>
      </c>
      <c r="U316" s="95">
        <f>VLOOKUP(T316,U326:W342,3,0)</f>
        <v>17</v>
      </c>
      <c r="V316" s="97">
        <f>VLOOKUP(9,X308:Y323,2,0)</f>
        <v>1</v>
      </c>
      <c r="X316" s="95">
        <f t="shared" si="190"/>
        <v>9</v>
      </c>
      <c r="Y316" s="95">
        <f t="shared" si="191"/>
        <v>1</v>
      </c>
      <c r="Z316" s="95">
        <f t="shared" si="192"/>
        <v>1</v>
      </c>
    </row>
    <row r="317" spans="1:26">
      <c r="A317" s="95">
        <v>10</v>
      </c>
      <c r="B317" s="95">
        <f>Singles!B122</f>
        <v>0</v>
      </c>
      <c r="C317" s="100" t="str">
        <f>IF(OR(LEFT(B317,LEN(B$11))=B$11,LEFT(B317,LEN(C$11))=C$11,LEN(B317)&lt;2),"","Wrong pick")</f>
        <v/>
      </c>
      <c r="D317" s="95">
        <f t="shared" ca="1" si="182"/>
        <v>0</v>
      </c>
      <c r="G317" s="95" t="str">
        <f>IF(B317=0,"",IF(LEFT(B317,LEN(B$11))=B$11,B$11,C$11))</f>
        <v/>
      </c>
      <c r="H317" s="95" t="str">
        <f t="shared" si="183"/>
        <v>0-0</v>
      </c>
      <c r="I317" s="95" t="str">
        <f ca="1">IF(AND(J317=Singles!$H$21,INDIRECT(ADDRESS(A317+1,6,1))=0,NOT(INDIRECT(ADDRESS(A317+1,5,1))="")),IF(D317=0,IF(H317=H335,"",G317&amp;" "&amp;H317&amp;" v "&amp;H335&amp;", "),G317&amp;" "&amp;H317&amp;" vs. "&amp;G335&amp;" "&amp;H335&amp;", "),"")</f>
        <v/>
      </c>
      <c r="J317" s="97">
        <f>Singles!H$12</f>
        <v>1</v>
      </c>
      <c r="K317" s="95" t="str">
        <f t="shared" si="184"/>
        <v>SR</v>
      </c>
      <c r="L317" s="95" t="str">
        <f t="shared" si="185"/>
        <v>0</v>
      </c>
      <c r="M317" s="95" t="str">
        <f t="shared" si="186"/>
        <v>0</v>
      </c>
      <c r="N317" s="95" t="str">
        <f t="shared" si="187"/>
        <v>0</v>
      </c>
      <c r="O317" s="95" t="str">
        <f t="shared" si="188"/>
        <v>0</v>
      </c>
      <c r="P317" s="95" t="str">
        <f t="shared" si="189"/>
        <v>0</v>
      </c>
      <c r="Q317" s="95">
        <f>IF(AND(G317=T$11,LEN(G317)&gt;1),1,0)</f>
        <v>0</v>
      </c>
      <c r="R317" s="97">
        <f>Singles!D$12</f>
        <v>10</v>
      </c>
      <c r="S317" s="95">
        <f>IF(AND(H317=H$11,LEN(H317)&gt;1,Q317=1),1,0)</f>
        <v>0</v>
      </c>
      <c r="V317" s="97">
        <f>VLOOKUP(10,X308:Y323,2,0)</f>
        <v>1</v>
      </c>
      <c r="X317" s="95">
        <f t="shared" si="190"/>
        <v>10</v>
      </c>
      <c r="Y317" s="95">
        <f t="shared" si="191"/>
        <v>1</v>
      </c>
      <c r="Z317" s="95">
        <f t="shared" si="192"/>
        <v>1</v>
      </c>
    </row>
    <row r="318" spans="1:26">
      <c r="A318" s="95">
        <v>11</v>
      </c>
      <c r="B318" s="95">
        <f>Singles!B123</f>
        <v>0</v>
      </c>
      <c r="C318" s="100" t="str">
        <f>IF(OR(LEFT(B318,LEN(B$12))=B$12,LEFT(B318,LEN(C$12))=C$12,LEN(B318)&lt;2),"","Wrong pick")</f>
        <v/>
      </c>
      <c r="D318" s="95">
        <f t="shared" ca="1" si="182"/>
        <v>0</v>
      </c>
      <c r="G318" s="95" t="str">
        <f>IF(B318=0,"",IF(LEFT(B318,LEN(B$12))=B$12,B$12,C$12))</f>
        <v/>
      </c>
      <c r="H318" s="95" t="str">
        <f t="shared" si="183"/>
        <v>0-0</v>
      </c>
      <c r="I318" s="95" t="str">
        <f ca="1">IF(AND(J318=Singles!$H$21,INDIRECT(ADDRESS(A318+1,6,1))=0,NOT(INDIRECT(ADDRESS(A318+1,5,1))="")),IF(D318=0,IF(H318=H336,"",G318&amp;" "&amp;H318&amp;" v "&amp;H336&amp;", "),G318&amp;" "&amp;H318&amp;" vs. "&amp;G336&amp;" "&amp;H336&amp;", "),"")</f>
        <v/>
      </c>
      <c r="J318" s="97">
        <f>Singles!H$13</f>
        <v>1</v>
      </c>
      <c r="K318" s="95" t="str">
        <f t="shared" si="184"/>
        <v>SR</v>
      </c>
      <c r="L318" s="95" t="str">
        <f t="shared" si="185"/>
        <v>0</v>
      </c>
      <c r="M318" s="95" t="str">
        <f t="shared" si="186"/>
        <v>0</v>
      </c>
      <c r="N318" s="95" t="str">
        <f t="shared" si="187"/>
        <v>0</v>
      </c>
      <c r="O318" s="95" t="str">
        <f t="shared" si="188"/>
        <v>0</v>
      </c>
      <c r="P318" s="95" t="str">
        <f t="shared" si="189"/>
        <v>0</v>
      </c>
      <c r="Q318" s="95">
        <f>IF(AND(G318=T$12,LEN(G318)&gt;1),1,0)</f>
        <v>0</v>
      </c>
      <c r="R318" s="97">
        <f>Singles!D$13</f>
        <v>11</v>
      </c>
      <c r="S318" s="95">
        <f>IF(AND(H318=H$12,LEN(H318)&gt;1,Q318=1),1,0)</f>
        <v>0</v>
      </c>
      <c r="V318" s="97">
        <f>VLOOKUP(11,X308:Y323,2,0)</f>
        <v>1</v>
      </c>
      <c r="X318" s="95">
        <f t="shared" si="190"/>
        <v>11</v>
      </c>
      <c r="Y318" s="95">
        <f t="shared" si="191"/>
        <v>1</v>
      </c>
      <c r="Z318" s="95">
        <f t="shared" si="192"/>
        <v>1</v>
      </c>
    </row>
    <row r="319" spans="1:26">
      <c r="A319" s="95">
        <v>12</v>
      </c>
      <c r="B319" s="95">
        <f>Singles!B124</f>
        <v>0</v>
      </c>
      <c r="C319" s="100" t="str">
        <f>IF(OR(LEFT(B319,LEN(B$13))=B$13,LEFT(B319,LEN(C$13))=C$13,LEN(B319)&lt;2),"","Wrong pick")</f>
        <v/>
      </c>
      <c r="D319" s="95">
        <f t="shared" ca="1" si="182"/>
        <v>0</v>
      </c>
      <c r="G319" s="95" t="str">
        <f>IF(B319=0,"",IF(LEFT(B319,LEN(B$13))=B$13,B$13,C$13))</f>
        <v/>
      </c>
      <c r="H319" s="95" t="str">
        <f t="shared" si="183"/>
        <v>0-0</v>
      </c>
      <c r="I319" s="95" t="str">
        <f ca="1">IF(AND(J319=Singles!$H$21,INDIRECT(ADDRESS(A319+1,6,1))=0,NOT(INDIRECT(ADDRESS(A319+1,5,1))="")),IF(D319=0,IF(H319=H337,"",G319&amp;" "&amp;H319&amp;" v "&amp;H337&amp;", "),G319&amp;" "&amp;H319&amp;" vs. "&amp;G337&amp;" "&amp;H337&amp;", "),"")</f>
        <v/>
      </c>
      <c r="J319" s="97">
        <f>Singles!H$14</f>
        <v>1</v>
      </c>
      <c r="K319" s="95" t="str">
        <f t="shared" si="184"/>
        <v>SR</v>
      </c>
      <c r="L319" s="95" t="str">
        <f t="shared" si="185"/>
        <v>0</v>
      </c>
      <c r="M319" s="95" t="str">
        <f t="shared" si="186"/>
        <v>0</v>
      </c>
      <c r="N319" s="95" t="str">
        <f t="shared" si="187"/>
        <v>0</v>
      </c>
      <c r="O319" s="95" t="str">
        <f t="shared" si="188"/>
        <v>0</v>
      </c>
      <c r="P319" s="95" t="str">
        <f t="shared" si="189"/>
        <v>0</v>
      </c>
      <c r="Q319" s="95">
        <f>IF(AND(G319=T$13,LEN(G319)&gt;1),1,0)</f>
        <v>0</v>
      </c>
      <c r="R319" s="97">
        <f>Singles!D$14</f>
        <v>12</v>
      </c>
      <c r="S319" s="95">
        <f>IF(AND(H319=H$13,LEN(H319)&gt;1,Q319=1),1,0)</f>
        <v>0</v>
      </c>
      <c r="V319" s="97">
        <f>VLOOKUP(12,X308:Y323,2,0)</f>
        <v>1</v>
      </c>
      <c r="X319" s="95">
        <f t="shared" si="190"/>
        <v>12</v>
      </c>
      <c r="Y319" s="95">
        <f t="shared" si="191"/>
        <v>1</v>
      </c>
      <c r="Z319" s="95">
        <f t="shared" si="192"/>
        <v>1</v>
      </c>
    </row>
    <row r="320" spans="1:26">
      <c r="A320" s="95">
        <v>13</v>
      </c>
      <c r="B320" s="95">
        <f>Singles!B125</f>
        <v>0</v>
      </c>
      <c r="C320" s="100" t="str">
        <f>IF(OR(LEFT(B320,LEN(B$14))=B$14,LEFT(B320,LEN(C$14))=C$14,LEN(B320)&lt;2),"","Wrong pick")</f>
        <v/>
      </c>
      <c r="D320" s="95">
        <f t="shared" ca="1" si="182"/>
        <v>0</v>
      </c>
      <c r="G320" s="95" t="str">
        <f>IF(B320=0,"",IF(LEFT(B320,LEN(B$14))=B$14,B$14,C$14))</f>
        <v/>
      </c>
      <c r="H320" s="95" t="str">
        <f t="shared" si="183"/>
        <v>0-0</v>
      </c>
      <c r="I320" s="95" t="str">
        <f ca="1">IF(AND(J320=Singles!$H$21,INDIRECT(ADDRESS(A320+1,6,1))=0,NOT(INDIRECT(ADDRESS(A320+1,5,1))="")),IF(D320=0,IF(H320=H338,"",G320&amp;" "&amp;H320&amp;" v "&amp;H338&amp;", "),G320&amp;" "&amp;H320&amp;" vs. "&amp;G338&amp;" "&amp;H338&amp;", "),"")</f>
        <v/>
      </c>
      <c r="J320" s="97">
        <f>Singles!H$15</f>
        <v>1</v>
      </c>
      <c r="K320" s="95" t="str">
        <f t="shared" si="184"/>
        <v>SR</v>
      </c>
      <c r="L320" s="95" t="str">
        <f t="shared" si="185"/>
        <v>0</v>
      </c>
      <c r="M320" s="95" t="str">
        <f t="shared" si="186"/>
        <v>0</v>
      </c>
      <c r="N320" s="95" t="str">
        <f t="shared" si="187"/>
        <v>0</v>
      </c>
      <c r="O320" s="95" t="str">
        <f t="shared" si="188"/>
        <v>0</v>
      </c>
      <c r="P320" s="95" t="str">
        <f t="shared" si="189"/>
        <v>0</v>
      </c>
      <c r="Q320" s="95">
        <f>IF(AND(G320=T$14,LEN(G320)&gt;1),1,0)</f>
        <v>0</v>
      </c>
      <c r="R320" s="97">
        <f>Singles!D$15</f>
        <v>13</v>
      </c>
      <c r="S320" s="95">
        <f>IF(AND(H320=H$14,LEN(H320)&gt;1,Q320=1),1,0)</f>
        <v>0</v>
      </c>
      <c r="V320" s="97">
        <f>VLOOKUP(13,X308:Y323,2,0)</f>
        <v>1</v>
      </c>
      <c r="X320" s="95">
        <f t="shared" si="190"/>
        <v>13</v>
      </c>
      <c r="Y320" s="95">
        <f t="shared" si="191"/>
        <v>1</v>
      </c>
      <c r="Z320" s="95">
        <f t="shared" si="192"/>
        <v>1</v>
      </c>
    </row>
    <row r="321" spans="1:26">
      <c r="A321" s="95">
        <v>14</v>
      </c>
      <c r="B321" s="95">
        <f>Singles!B126</f>
        <v>0</v>
      </c>
      <c r="C321" s="100" t="str">
        <f>IF(OR(LEFT(B321,LEN(B$15))=B$15,LEFT(B321,LEN(C$15))=C$15,LEN(B321)&lt;2),"","Wrong pick")</f>
        <v/>
      </c>
      <c r="D321" s="95">
        <f t="shared" ca="1" si="182"/>
        <v>0</v>
      </c>
      <c r="G321" s="95" t="str">
        <f>IF(B321=0,"",IF(LEFT(B321,LEN(B$15))=B$15,B$15,C$15))</f>
        <v/>
      </c>
      <c r="H321" s="95" t="str">
        <f t="shared" si="183"/>
        <v>0-0</v>
      </c>
      <c r="I321" s="95" t="str">
        <f ca="1">IF(AND(J321=Singles!$H$21,INDIRECT(ADDRESS(A321+1,6,1))=0,NOT(INDIRECT(ADDRESS(A321+1,5,1))="")),IF(D321=0,IF(H321=H339,"",G321&amp;" "&amp;H321&amp;" v "&amp;H339&amp;", "),G321&amp;" "&amp;H321&amp;" vs. "&amp;G339&amp;" "&amp;H339&amp;", "),"")</f>
        <v/>
      </c>
      <c r="J321" s="97">
        <f>Singles!H$16</f>
        <v>1</v>
      </c>
      <c r="K321" s="95" t="str">
        <f t="shared" si="184"/>
        <v>SR</v>
      </c>
      <c r="L321" s="95" t="str">
        <f t="shared" si="185"/>
        <v>0</v>
      </c>
      <c r="M321" s="95" t="str">
        <f t="shared" si="186"/>
        <v>0</v>
      </c>
      <c r="N321" s="95" t="str">
        <f t="shared" si="187"/>
        <v>0</v>
      </c>
      <c r="O321" s="95" t="str">
        <f t="shared" si="188"/>
        <v>0</v>
      </c>
      <c r="P321" s="95" t="str">
        <f t="shared" si="189"/>
        <v>0</v>
      </c>
      <c r="Q321" s="95">
        <f>IF(AND(G321=T$15,LEN(G321)&gt;1),1,0)</f>
        <v>0</v>
      </c>
      <c r="R321" s="97">
        <f>Singles!D$16</f>
        <v>14</v>
      </c>
      <c r="S321" s="95">
        <f>IF(AND(H321=H$15,LEN(H321)&gt;1,Q321=1),1,0)</f>
        <v>0</v>
      </c>
      <c r="V321" s="97">
        <f>VLOOKUP(14,X308:Y323,2,0)</f>
        <v>1</v>
      </c>
      <c r="X321" s="95">
        <f t="shared" si="190"/>
        <v>14</v>
      </c>
      <c r="Y321" s="95">
        <f t="shared" si="191"/>
        <v>1</v>
      </c>
      <c r="Z321" s="95">
        <f t="shared" si="192"/>
        <v>1</v>
      </c>
    </row>
    <row r="322" spans="1:26">
      <c r="A322" s="95">
        <v>15</v>
      </c>
      <c r="B322" s="95">
        <f>Singles!B127</f>
        <v>0</v>
      </c>
      <c r="C322" s="100" t="str">
        <f>IF(OR(LEFT(B322,LEN(B$16))=B$16,LEFT(B322,LEN(C$16))=C$16,LEN(B322)&lt;2),"","Wrong pick")</f>
        <v/>
      </c>
      <c r="D322" s="95">
        <f t="shared" ca="1" si="182"/>
        <v>0</v>
      </c>
      <c r="G322" s="95" t="str">
        <f>IF(B322=0,"",IF(LEFT(B322,LEN(B$16))=B$16,B$16,C$16))</f>
        <v/>
      </c>
      <c r="H322" s="95" t="str">
        <f t="shared" si="183"/>
        <v>0-0</v>
      </c>
      <c r="I322" s="95" t="str">
        <f ca="1">IF(AND(J322=Singles!$H$21,INDIRECT(ADDRESS(A322+1,6,1))=0,NOT(INDIRECT(ADDRESS(A322+1,5,1))="")),IF(D322=0,IF(H322=H340,"",G322&amp;" "&amp;H322&amp;" v "&amp;H340&amp;", "),G322&amp;" "&amp;H322&amp;" vs. "&amp;G340&amp;" "&amp;H340&amp;", "),"")</f>
        <v/>
      </c>
      <c r="J322" s="97">
        <f>Singles!H$17</f>
        <v>1</v>
      </c>
      <c r="K322" s="95" t="str">
        <f t="shared" si="184"/>
        <v>SR</v>
      </c>
      <c r="L322" s="95" t="str">
        <f t="shared" si="185"/>
        <v>0</v>
      </c>
      <c r="M322" s="95" t="str">
        <f t="shared" si="186"/>
        <v>0</v>
      </c>
      <c r="N322" s="95" t="str">
        <f t="shared" si="187"/>
        <v>0</v>
      </c>
      <c r="O322" s="95" t="str">
        <f t="shared" si="188"/>
        <v>0</v>
      </c>
      <c r="P322" s="95" t="str">
        <f t="shared" si="189"/>
        <v>0</v>
      </c>
      <c r="Q322" s="95">
        <f>IF(AND(G322=T$16,LEN(G322)&gt;1),1,0)</f>
        <v>0</v>
      </c>
      <c r="R322" s="97">
        <f>Singles!D$17</f>
        <v>15</v>
      </c>
      <c r="S322" s="95">
        <f>IF(AND(H322=H$16,LEN(H322)&gt;1,Q322=1),1,0)</f>
        <v>0</v>
      </c>
      <c r="V322" s="97">
        <f>VLOOKUP(15,X308:Y323,2,0)</f>
        <v>1</v>
      </c>
      <c r="X322" s="95">
        <f t="shared" si="190"/>
        <v>15</v>
      </c>
      <c r="Y322" s="95">
        <f t="shared" si="191"/>
        <v>1</v>
      </c>
      <c r="Z322" s="95">
        <f t="shared" si="192"/>
        <v>1</v>
      </c>
    </row>
    <row r="323" spans="1:26">
      <c r="A323" s="95">
        <v>16</v>
      </c>
      <c r="B323" s="95">
        <f>Singles!B128</f>
        <v>0</v>
      </c>
      <c r="C323" s="100" t="str">
        <f>IF(OR(LEFT(B323,LEN(B$17))=B$17,LEFT(B323,LEN(C$17))=C$17,LEN(B323)&lt;2),"","Wrong pick")</f>
        <v/>
      </c>
      <c r="D323" s="95">
        <f t="shared" ca="1" si="182"/>
        <v>0</v>
      </c>
      <c r="G323" s="95" t="str">
        <f>IF(B323=0,"",IF(LEFT(B323,LEN(B$17))=B$17,B$17,C$17))</f>
        <v/>
      </c>
      <c r="H323" s="95" t="str">
        <f t="shared" si="183"/>
        <v>0-0</v>
      </c>
      <c r="I323" s="95" t="str">
        <f ca="1">IF(AND(J323=Singles!$H$21,INDIRECT(ADDRESS(A323+1,6,1))=0,NOT(INDIRECT(ADDRESS(A323+1,5,1))="")),IF(D323=0,IF(H323=H341,"",G323&amp;" "&amp;H323&amp;" v "&amp;H341&amp;", "),G323&amp;" "&amp;H323&amp;" vs. "&amp;G341&amp;" "&amp;H341&amp;", "),"")</f>
        <v/>
      </c>
      <c r="J323" s="97">
        <f>Singles!H$18</f>
        <v>1</v>
      </c>
      <c r="K323" s="95" t="str">
        <f t="shared" si="184"/>
        <v>SR</v>
      </c>
      <c r="L323" s="95" t="str">
        <f t="shared" si="185"/>
        <v>0</v>
      </c>
      <c r="M323" s="95" t="str">
        <f t="shared" si="186"/>
        <v>0</v>
      </c>
      <c r="N323" s="95" t="str">
        <f t="shared" si="187"/>
        <v>0</v>
      </c>
      <c r="O323" s="95" t="str">
        <f t="shared" si="188"/>
        <v>0</v>
      </c>
      <c r="P323" s="95" t="str">
        <f t="shared" si="189"/>
        <v>0</v>
      </c>
      <c r="Q323" s="95">
        <f>IF(AND(G323=T$17,LEN(G323)&gt;1),1,0)</f>
        <v>0</v>
      </c>
      <c r="R323" s="97">
        <f>Singles!D$18</f>
        <v>16</v>
      </c>
      <c r="S323" s="95">
        <f>IF(AND(H323=H$17,LEN(H323)&gt;1,Q323=1),1,0)</f>
        <v>0</v>
      </c>
      <c r="V323" s="97">
        <f>VLOOKUP(16,X308:Y323,2,0)</f>
        <v>1</v>
      </c>
      <c r="X323" s="95">
        <f t="shared" si="190"/>
        <v>16</v>
      </c>
      <c r="Y323" s="95">
        <f t="shared" si="191"/>
        <v>1</v>
      </c>
      <c r="Z323" s="95">
        <f t="shared" si="192"/>
        <v>1</v>
      </c>
    </row>
    <row r="325" spans="1:26">
      <c r="A325" s="95" t="e">
        <f>IF(LEN(VLOOKUP(B325,Singles!$A$2:$B$33,2,0))&gt;0,VLOOKUP(B325,Singles!$A$2:$B$33,2,0),"")</f>
        <v>#N/A</v>
      </c>
      <c r="B325" s="96">
        <f>Singles!C112</f>
        <v>0</v>
      </c>
      <c r="C325" s="96">
        <v>18</v>
      </c>
      <c r="D325" s="95" t="e">
        <f>VLOOKUP(B325,Singles!$A$2:$C$33,3,0)</f>
        <v>#N/A</v>
      </c>
      <c r="J325" s="95" t="s">
        <v>88</v>
      </c>
      <c r="Q325" s="95" t="s">
        <v>121</v>
      </c>
      <c r="S325" s="95" t="s">
        <v>122</v>
      </c>
      <c r="T325" s="95" t="e">
        <f>IF(LEN(A325)&gt;0,"("&amp;A325&amp;") "&amp;B325,B325)&amp;IF(LEN(D325)&gt;1," ("&amp;D325&amp;")","")</f>
        <v>#N/A</v>
      </c>
      <c r="V325" s="95" t="s">
        <v>123</v>
      </c>
      <c r="Y325" s="95" t="s">
        <v>123</v>
      </c>
    </row>
    <row r="326" spans="1:26">
      <c r="A326" s="95">
        <v>1</v>
      </c>
      <c r="B326" s="95">
        <f>Singles!C113</f>
        <v>0</v>
      </c>
      <c r="C326" s="99" t="str">
        <f>IF(OR(LEFT(B326,LEN(B$2))=B$2,LEFT(B326,LEN(C$2))=C$2,LEN(B326)&lt;2),"","Wrong pick")</f>
        <v/>
      </c>
      <c r="E326" s="95" t="str">
        <f ca="1">IF(AND(D308=1,J326=$I$2),G326&amp;", ","")&amp;IF(AND(D309=1,J327=$I$2),G327&amp;", ","")&amp;IF(AND(D310=1,J328=$I$2),G328&amp;", ","")&amp;IF(AND(D311=1,J329=$I$2),G329&amp;", ","")&amp;IF(AND(D312=1,J330=$I$2),G330&amp;", ","")&amp;IF(AND(D313=1,J331=$I$2),G331&amp;", ","")&amp;IF(AND(D314=1,J332=$I$2),G332&amp;", ","")&amp;IF(AND(D315=1,J333=$I$2),G333&amp;", ","")&amp;IF(AND(D316=1,J334=$I$2),G334&amp;", ","")&amp;IF(AND(D317=1,J335=$I$2),G335&amp;", ","")&amp;IF(AND(D318=1,J336=$I$2),G336&amp;", ","")&amp;IF(AND(D319=1,J337=$I$2),G337&amp;", ","")&amp;IF(AND(D320=1,J338=$I$2),G338&amp;", ","")&amp;IF(AND(D321=1,J339=$I$2),G339&amp;", ","")&amp;IF(AND(D322=1,J340=$I$2),G340&amp;", ","")&amp;IF(AND(D323=1,J341=$I$2),G341&amp;", ","")</f>
        <v/>
      </c>
      <c r="F326" s="95" t="str">
        <f>IF(AND(SUM(Z326:Z341)=$I$4,NOT(B325="Bye")),"Missing picks from "&amp;B325&amp;" ","")</f>
        <v xml:space="preserve">Missing picks from 0 </v>
      </c>
      <c r="G326" s="95" t="str">
        <f>IF(B326=0,"",IF(LEFT(B326,LEN(B$2))=B$2,B$2,C$2))</f>
        <v/>
      </c>
      <c r="H326" s="95" t="str">
        <f t="shared" ref="H326:H341" si="193">IF(L326="","",IF(K326="PTS",IF(LEN(O326)&lt;8,"2-0","2-1"),LEFT(O326,1)&amp;"-"&amp;RIGHT(O326,1)))</f>
        <v>0-0</v>
      </c>
      <c r="J326" s="97">
        <f>Singles!H$3</f>
        <v>1</v>
      </c>
      <c r="K326" s="95" t="str">
        <f t="shared" ref="K326:K341" si="194">IF(LEN(L326)&gt;0,IF(LEN(O326)&lt;4,"SR","PTS"),"")</f>
        <v>SR</v>
      </c>
      <c r="L326" s="95" t="str">
        <f t="shared" ref="L326:L341" si="195">TRIM(RIGHT(B326,LEN(B326)-LEN(G326)))</f>
        <v>0</v>
      </c>
      <c r="M326" s="95" t="str">
        <f t="shared" ref="M326:M341" si="196">SUBSTITUTE(L326,"-","")</f>
        <v>0</v>
      </c>
      <c r="N326" s="95" t="str">
        <f t="shared" ref="N326:N341" si="197">SUBSTITUTE(M326,","," ")</f>
        <v>0</v>
      </c>
      <c r="O326" s="95" t="str">
        <f t="shared" ref="O326:O341" si="198">IF(AND(LEN(TRIM(SUBSTITUTE(P326,"/","")))&gt;6,OR(LEFT(TRIM(SUBSTITUTE(P326,"/","")),2)="20",LEFT(TRIM(SUBSTITUTE(P326,"/","")),2)="21")),RIGHT(TRIM(SUBSTITUTE(P326,"/","")),LEN(TRIM(SUBSTITUTE(P326,"/","")))-3),TRIM(SUBSTITUTE(P326,"/","")))</f>
        <v>0</v>
      </c>
      <c r="P326" s="95" t="str">
        <f t="shared" ref="P326:P341" si="199">SUBSTITUTE(N326,":","")</f>
        <v>0</v>
      </c>
      <c r="Q326" s="95">
        <f>IF(AND(G326=T$2,LEN(G326)&gt;1),1,0)</f>
        <v>0</v>
      </c>
      <c r="R326" s="97">
        <f>Singles!D$3</f>
        <v>1</v>
      </c>
      <c r="S326" s="95">
        <f>IF(AND(H326=H$2,LEN(H326)&gt;1,Q326=1),1,0)</f>
        <v>0</v>
      </c>
      <c r="T326" s="95" t="str">
        <f t="shared" ref="T326:T341" si="200">IF(V308=V326,"No","Winner")</f>
        <v>No</v>
      </c>
      <c r="U326" s="95" t="str">
        <f>IF(T326="Winner",IF(V326&gt;V308,B325,B307),"")</f>
        <v/>
      </c>
      <c r="V326" s="97">
        <f>VLOOKUP(1,X326:Y341,2,0)</f>
        <v>1</v>
      </c>
      <c r="W326" s="95">
        <v>1</v>
      </c>
      <c r="X326" s="95">
        <f t="shared" ref="X326:X341" si="201">R326</f>
        <v>1</v>
      </c>
      <c r="Y326" s="95">
        <f t="shared" ref="Y326:Y341" si="202">IF(Q326=1,IF(S326=1,4,3),IF(H326="2-1",2,1))</f>
        <v>1</v>
      </c>
      <c r="Z326" s="95">
        <f t="shared" ref="Z326:Z341" si="203">IF(AND($I$2=J326,B326=0),1,0)</f>
        <v>1</v>
      </c>
    </row>
    <row r="327" spans="1:26">
      <c r="A327" s="95">
        <v>2</v>
      </c>
      <c r="B327" s="95">
        <f>Singles!C114</f>
        <v>0</v>
      </c>
      <c r="C327" s="100" t="str">
        <f>IF(OR(LEFT(B327,LEN(B$3))=B$3,LEFT(B327,LEN(C$3))=C$3,LEN(B327)&lt;2),"","Wrong pick")</f>
        <v/>
      </c>
      <c r="G327" s="95" t="str">
        <f>IF(B327=0,"",IF(LEFT(B327,LEN(B$3))=B$3,B$3,C$3))</f>
        <v/>
      </c>
      <c r="H327" s="95" t="str">
        <f t="shared" si="193"/>
        <v>0-0</v>
      </c>
      <c r="J327" s="97">
        <f>Singles!H$4</f>
        <v>1</v>
      </c>
      <c r="K327" s="95" t="str">
        <f t="shared" si="194"/>
        <v>SR</v>
      </c>
      <c r="L327" s="95" t="str">
        <f t="shared" si="195"/>
        <v>0</v>
      </c>
      <c r="M327" s="95" t="str">
        <f t="shared" si="196"/>
        <v>0</v>
      </c>
      <c r="N327" s="95" t="str">
        <f t="shared" si="197"/>
        <v>0</v>
      </c>
      <c r="O327" s="95" t="str">
        <f t="shared" si="198"/>
        <v>0</v>
      </c>
      <c r="P327" s="95" t="str">
        <f t="shared" si="199"/>
        <v>0</v>
      </c>
      <c r="Q327" s="95">
        <f>IF(AND(G327=T$3,LEN(G327)&gt;1),1,0)</f>
        <v>0</v>
      </c>
      <c r="R327" s="97">
        <f>Singles!D$4</f>
        <v>2</v>
      </c>
      <c r="S327" s="95">
        <f>IF(AND(H327=H$3,LEN(H327)&gt;1,Q327=1),1,0)</f>
        <v>0</v>
      </c>
      <c r="T327" s="95" t="str">
        <f t="shared" si="200"/>
        <v>No</v>
      </c>
      <c r="U327" s="95" t="str">
        <f>IF(T327="Winner",IF(V327&gt;V309,B325,B307),"")</f>
        <v/>
      </c>
      <c r="V327" s="97">
        <f>VLOOKUP(2,X326:Y341,2,0)</f>
        <v>1</v>
      </c>
      <c r="W327" s="95">
        <v>2</v>
      </c>
      <c r="X327" s="95">
        <f t="shared" si="201"/>
        <v>2</v>
      </c>
      <c r="Y327" s="95">
        <f t="shared" si="202"/>
        <v>1</v>
      </c>
      <c r="Z327" s="95">
        <f t="shared" si="203"/>
        <v>1</v>
      </c>
    </row>
    <row r="328" spans="1:26">
      <c r="A328" s="95">
        <v>3</v>
      </c>
      <c r="B328" s="95">
        <f>Singles!C115</f>
        <v>0</v>
      </c>
      <c r="C328" s="100" t="str">
        <f>IF(OR(LEFT(B328,LEN(B$4))=B$4,LEFT(B328,LEN(C$4))=C$4,LEN(B328)&lt;2),"","Wrong pick")</f>
        <v/>
      </c>
      <c r="G328" s="95" t="str">
        <f>IF(B328=0,"",IF(LEFT(B328,LEN(B$4))=B$4,B$4,C$4))</f>
        <v/>
      </c>
      <c r="H328" s="95" t="str">
        <f t="shared" si="193"/>
        <v>0-0</v>
      </c>
      <c r="J328" s="97">
        <f>Singles!H$5</f>
        <v>1</v>
      </c>
      <c r="K328" s="95" t="str">
        <f t="shared" si="194"/>
        <v>SR</v>
      </c>
      <c r="L328" s="95" t="str">
        <f t="shared" si="195"/>
        <v>0</v>
      </c>
      <c r="M328" s="95" t="str">
        <f t="shared" si="196"/>
        <v>0</v>
      </c>
      <c r="N328" s="95" t="str">
        <f t="shared" si="197"/>
        <v>0</v>
      </c>
      <c r="O328" s="95" t="str">
        <f t="shared" si="198"/>
        <v>0</v>
      </c>
      <c r="P328" s="95" t="str">
        <f t="shared" si="199"/>
        <v>0</v>
      </c>
      <c r="Q328" s="95">
        <f>IF(AND(G328=T$4,LEN(G328)&gt;1),1,0)</f>
        <v>0</v>
      </c>
      <c r="R328" s="97">
        <f>Singles!D$5</f>
        <v>3</v>
      </c>
      <c r="S328" s="95">
        <f>IF(AND(H328=H$4,LEN(H328)&gt;1,Q328=1),1,0)</f>
        <v>0</v>
      </c>
      <c r="T328" s="95" t="str">
        <f t="shared" si="200"/>
        <v>No</v>
      </c>
      <c r="U328" s="95" t="str">
        <f>IF(T328="Winner",IF(V328&gt;V310,B325,B307),"")</f>
        <v/>
      </c>
      <c r="V328" s="97">
        <f>VLOOKUP(3,X326:Y341,2,0)</f>
        <v>1</v>
      </c>
      <c r="W328" s="95">
        <v>3</v>
      </c>
      <c r="X328" s="95">
        <f t="shared" si="201"/>
        <v>3</v>
      </c>
      <c r="Y328" s="95">
        <f t="shared" si="202"/>
        <v>1</v>
      </c>
      <c r="Z328" s="95">
        <f t="shared" si="203"/>
        <v>1</v>
      </c>
    </row>
    <row r="329" spans="1:26">
      <c r="A329" s="95">
        <v>4</v>
      </c>
      <c r="B329" s="95">
        <f>Singles!C116</f>
        <v>0</v>
      </c>
      <c r="C329" s="100" t="str">
        <f>IF(OR(LEFT(B329,LEN(B$5))=B$5,LEFT(B329,LEN(C$5))=C$5,LEN(B329)&lt;2),"","Wrong pick")</f>
        <v/>
      </c>
      <c r="G329" s="95" t="str">
        <f>IF(B329=0,"",IF(LEFT(B329,LEN(B$5))=B$5,B$5,C$5))</f>
        <v/>
      </c>
      <c r="H329" s="95" t="str">
        <f t="shared" si="193"/>
        <v>0-0</v>
      </c>
      <c r="J329" s="97">
        <f>Singles!H$6</f>
        <v>1</v>
      </c>
      <c r="K329" s="95" t="str">
        <f t="shared" si="194"/>
        <v>SR</v>
      </c>
      <c r="L329" s="95" t="str">
        <f t="shared" si="195"/>
        <v>0</v>
      </c>
      <c r="M329" s="95" t="str">
        <f t="shared" si="196"/>
        <v>0</v>
      </c>
      <c r="N329" s="95" t="str">
        <f t="shared" si="197"/>
        <v>0</v>
      </c>
      <c r="O329" s="95" t="str">
        <f t="shared" si="198"/>
        <v>0</v>
      </c>
      <c r="P329" s="95" t="str">
        <f t="shared" si="199"/>
        <v>0</v>
      </c>
      <c r="Q329" s="95">
        <f>IF(AND(G329=T$5,LEN(G329)&gt;1),1,0)</f>
        <v>0</v>
      </c>
      <c r="R329" s="97">
        <f>Singles!D$6</f>
        <v>4</v>
      </c>
      <c r="S329" s="95">
        <f>IF(AND(H329=H$5,LEN(H329)&gt;1,Q329=1),1,0)</f>
        <v>0</v>
      </c>
      <c r="T329" s="95" t="str">
        <f t="shared" si="200"/>
        <v>No</v>
      </c>
      <c r="U329" s="95" t="str">
        <f>IF(T329="Winner",IF(V329&gt;V311,B325,B307),"")</f>
        <v/>
      </c>
      <c r="V329" s="97">
        <f>VLOOKUP(4,X326:Y341,2,0)</f>
        <v>1</v>
      </c>
      <c r="W329" s="95">
        <v>4</v>
      </c>
      <c r="X329" s="95">
        <f t="shared" si="201"/>
        <v>4</v>
      </c>
      <c r="Y329" s="95">
        <f t="shared" si="202"/>
        <v>1</v>
      </c>
      <c r="Z329" s="95">
        <f t="shared" si="203"/>
        <v>1</v>
      </c>
    </row>
    <row r="330" spans="1:26">
      <c r="A330" s="95">
        <v>5</v>
      </c>
      <c r="B330" s="95">
        <f>Singles!C117</f>
        <v>0</v>
      </c>
      <c r="C330" s="100" t="str">
        <f>IF(OR(LEFT(B330,LEN(B$6))=B$6,LEFT(B330,LEN(C$6))=C$6,LEN(B330)&lt;2),"","Wrong pick")</f>
        <v/>
      </c>
      <c r="G330" s="95" t="str">
        <f>IF(B330=0,"",IF(LEFT(B330,LEN(B$6))=B$6,B$6,C$6))</f>
        <v/>
      </c>
      <c r="H330" s="95" t="str">
        <f t="shared" si="193"/>
        <v>0-0</v>
      </c>
      <c r="J330" s="97">
        <f>Singles!H$7</f>
        <v>1</v>
      </c>
      <c r="K330" s="95" t="str">
        <f t="shared" si="194"/>
        <v>SR</v>
      </c>
      <c r="L330" s="95" t="str">
        <f t="shared" si="195"/>
        <v>0</v>
      </c>
      <c r="M330" s="95" t="str">
        <f t="shared" si="196"/>
        <v>0</v>
      </c>
      <c r="N330" s="95" t="str">
        <f t="shared" si="197"/>
        <v>0</v>
      </c>
      <c r="O330" s="95" t="str">
        <f t="shared" si="198"/>
        <v>0</v>
      </c>
      <c r="P330" s="95" t="str">
        <f t="shared" si="199"/>
        <v>0</v>
      </c>
      <c r="Q330" s="95">
        <f>IF(AND(G330=T$6,LEN(G330)&gt;1),1,0)</f>
        <v>0</v>
      </c>
      <c r="R330" s="97">
        <f>Singles!D$7</f>
        <v>5</v>
      </c>
      <c r="S330" s="95">
        <f>IF(AND(H330=H$6,LEN(H330)&gt;1,Q330=1),1,0)</f>
        <v>0</v>
      </c>
      <c r="T330" s="95" t="str">
        <f t="shared" si="200"/>
        <v>No</v>
      </c>
      <c r="U330" s="95" t="str">
        <f>IF(T330="Winner",IF(V330&gt;V312,B325,B307),"")</f>
        <v/>
      </c>
      <c r="V330" s="97">
        <f>VLOOKUP(5,X326:Y341,2,0)</f>
        <v>1</v>
      </c>
      <c r="W330" s="95">
        <v>5</v>
      </c>
      <c r="X330" s="95">
        <f t="shared" si="201"/>
        <v>5</v>
      </c>
      <c r="Y330" s="95">
        <f t="shared" si="202"/>
        <v>1</v>
      </c>
      <c r="Z330" s="95">
        <f t="shared" si="203"/>
        <v>1</v>
      </c>
    </row>
    <row r="331" spans="1:26">
      <c r="A331" s="95">
        <v>6</v>
      </c>
      <c r="B331" s="95">
        <f>Singles!C118</f>
        <v>0</v>
      </c>
      <c r="C331" s="100" t="str">
        <f>IF(OR(LEFT(B331,LEN(B$7))=B$7,LEFT(B331,LEN(C$7))=C$7,LEN(B331)&lt;2),"","Wrong pick")</f>
        <v/>
      </c>
      <c r="G331" s="95" t="str">
        <f>IF(B331=0,"",IF(LEFT(B331,LEN(B$7))=B$7,B$7,C$7))</f>
        <v/>
      </c>
      <c r="H331" s="95" t="str">
        <f t="shared" si="193"/>
        <v>0-0</v>
      </c>
      <c r="J331" s="97">
        <f>Singles!H$8</f>
        <v>1</v>
      </c>
      <c r="K331" s="95" t="str">
        <f t="shared" si="194"/>
        <v>SR</v>
      </c>
      <c r="L331" s="95" t="str">
        <f t="shared" si="195"/>
        <v>0</v>
      </c>
      <c r="M331" s="95" t="str">
        <f t="shared" si="196"/>
        <v>0</v>
      </c>
      <c r="N331" s="95" t="str">
        <f t="shared" si="197"/>
        <v>0</v>
      </c>
      <c r="O331" s="95" t="str">
        <f t="shared" si="198"/>
        <v>0</v>
      </c>
      <c r="P331" s="95" t="str">
        <f t="shared" si="199"/>
        <v>0</v>
      </c>
      <c r="Q331" s="95">
        <f>IF(AND(G331=T$7,LEN(G331)&gt;1),1,0)</f>
        <v>0</v>
      </c>
      <c r="R331" s="97">
        <f>Singles!D$8</f>
        <v>6</v>
      </c>
      <c r="S331" s="95">
        <f>IF(AND(H331=H$7,LEN(H331)&gt;1,Q331=1),1,0)</f>
        <v>0</v>
      </c>
      <c r="T331" s="95" t="str">
        <f t="shared" si="200"/>
        <v>No</v>
      </c>
      <c r="U331" s="95" t="str">
        <f>IF(T331="Winner",IF(V331&gt;V313,B325,B307),"")</f>
        <v/>
      </c>
      <c r="V331" s="97">
        <f>VLOOKUP(6,X326:Y341,2,0)</f>
        <v>1</v>
      </c>
      <c r="W331" s="95">
        <v>6</v>
      </c>
      <c r="X331" s="95">
        <f t="shared" si="201"/>
        <v>6</v>
      </c>
      <c r="Y331" s="95">
        <f t="shared" si="202"/>
        <v>1</v>
      </c>
      <c r="Z331" s="95">
        <f t="shared" si="203"/>
        <v>1</v>
      </c>
    </row>
    <row r="332" spans="1:26">
      <c r="A332" s="95">
        <v>7</v>
      </c>
      <c r="B332" s="95">
        <f>Singles!C119</f>
        <v>0</v>
      </c>
      <c r="C332" s="100" t="str">
        <f>IF(OR(LEFT(B332,LEN(B$8))=B$8,LEFT(B332,LEN(C$8))=C$8,LEN(B332)&lt;2),"","Wrong pick")</f>
        <v/>
      </c>
      <c r="G332" s="95" t="str">
        <f>IF(B332=0,"",IF(LEFT(B332,LEN(B$8))=B$8,B$8,C$8))</f>
        <v/>
      </c>
      <c r="H332" s="95" t="str">
        <f t="shared" si="193"/>
        <v>0-0</v>
      </c>
      <c r="J332" s="97">
        <f>Singles!H$9</f>
        <v>1</v>
      </c>
      <c r="K332" s="95" t="str">
        <f t="shared" si="194"/>
        <v>SR</v>
      </c>
      <c r="L332" s="95" t="str">
        <f t="shared" si="195"/>
        <v>0</v>
      </c>
      <c r="M332" s="95" t="str">
        <f t="shared" si="196"/>
        <v>0</v>
      </c>
      <c r="N332" s="95" t="str">
        <f t="shared" si="197"/>
        <v>0</v>
      </c>
      <c r="O332" s="95" t="str">
        <f t="shared" si="198"/>
        <v>0</v>
      </c>
      <c r="P332" s="95" t="str">
        <f t="shared" si="199"/>
        <v>0</v>
      </c>
      <c r="Q332" s="95">
        <f>IF(AND(G332=T$8,LEN(G332)&gt;1),1,0)</f>
        <v>0</v>
      </c>
      <c r="R332" s="97">
        <f>Singles!D$9</f>
        <v>7</v>
      </c>
      <c r="S332" s="95">
        <f>IF(AND(H332=H$8,LEN(H332)&gt;1,Q332=1),1,0)</f>
        <v>0</v>
      </c>
      <c r="T332" s="95" t="str">
        <f t="shared" si="200"/>
        <v>No</v>
      </c>
      <c r="U332" s="95" t="str">
        <f>IF(T332="Winner",IF(V332&gt;V314,B325,B307),"")</f>
        <v/>
      </c>
      <c r="V332" s="97">
        <f>VLOOKUP(7,X326:Y341,2,0)</f>
        <v>1</v>
      </c>
      <c r="W332" s="95">
        <v>7</v>
      </c>
      <c r="X332" s="95">
        <f t="shared" si="201"/>
        <v>7</v>
      </c>
      <c r="Y332" s="95">
        <f t="shared" si="202"/>
        <v>1</v>
      </c>
      <c r="Z332" s="95">
        <f t="shared" si="203"/>
        <v>1</v>
      </c>
    </row>
    <row r="333" spans="1:26">
      <c r="A333" s="95">
        <v>8</v>
      </c>
      <c r="B333" s="95">
        <f>Singles!C120</f>
        <v>0</v>
      </c>
      <c r="C333" s="100" t="str">
        <f>IF(OR(LEFT(B333,LEN(B$9))=B$9,LEFT(B333,LEN(C$9))=C$9,LEN(B333)&lt;2),"","Wrong pick")</f>
        <v/>
      </c>
      <c r="G333" s="95" t="str">
        <f>IF(B333=0,"",IF(LEFT(B333,LEN(B$9))=B$9,B$9,C$9))</f>
        <v/>
      </c>
      <c r="H333" s="95" t="str">
        <f t="shared" si="193"/>
        <v>0-0</v>
      </c>
      <c r="J333" s="97">
        <f>Singles!H$10</f>
        <v>1</v>
      </c>
      <c r="K333" s="95" t="str">
        <f t="shared" si="194"/>
        <v>SR</v>
      </c>
      <c r="L333" s="95" t="str">
        <f t="shared" si="195"/>
        <v>0</v>
      </c>
      <c r="M333" s="95" t="str">
        <f t="shared" si="196"/>
        <v>0</v>
      </c>
      <c r="N333" s="95" t="str">
        <f t="shared" si="197"/>
        <v>0</v>
      </c>
      <c r="O333" s="95" t="str">
        <f t="shared" si="198"/>
        <v>0</v>
      </c>
      <c r="P333" s="95" t="str">
        <f t="shared" si="199"/>
        <v>0</v>
      </c>
      <c r="Q333" s="95">
        <f>IF(AND(G333=T$9,LEN(G333)&gt;1),1,0)</f>
        <v>0</v>
      </c>
      <c r="R333" s="97">
        <f>Singles!D$10</f>
        <v>8</v>
      </c>
      <c r="S333" s="95">
        <f>IF(AND(H333=H$9,LEN(H333)&gt;1,Q333=1),1,0)</f>
        <v>0</v>
      </c>
      <c r="T333" s="95" t="str">
        <f t="shared" si="200"/>
        <v>No</v>
      </c>
      <c r="U333" s="95" t="str">
        <f>IF(T333="Winner",IF(V333&gt;V315,B325,B307),"")</f>
        <v/>
      </c>
      <c r="V333" s="97">
        <f>VLOOKUP(8,X326:Y341,2,0)</f>
        <v>1</v>
      </c>
      <c r="W333" s="95">
        <v>8</v>
      </c>
      <c r="X333" s="95">
        <f t="shared" si="201"/>
        <v>8</v>
      </c>
      <c r="Y333" s="95">
        <f t="shared" si="202"/>
        <v>1</v>
      </c>
      <c r="Z333" s="95">
        <f t="shared" si="203"/>
        <v>1</v>
      </c>
    </row>
    <row r="334" spans="1:26">
      <c r="A334" s="95">
        <v>9</v>
      </c>
      <c r="B334" s="95">
        <f>Singles!C121</f>
        <v>0</v>
      </c>
      <c r="C334" s="100" t="str">
        <f>IF(OR(LEFT(B334,LEN(B$10))=B$10,LEFT(B334,LEN(C$10))=C$10,LEN(B334)&lt;2),"","Wrong pick")</f>
        <v/>
      </c>
      <c r="G334" s="95" t="str">
        <f>IF(B334=0,"",IF(LEFT(B334,LEN(B$10))=B$10,B$10,C$10))</f>
        <v/>
      </c>
      <c r="H334" s="95" t="str">
        <f t="shared" si="193"/>
        <v>0-0</v>
      </c>
      <c r="J334" s="97">
        <f>Singles!H$11</f>
        <v>1</v>
      </c>
      <c r="K334" s="95" t="str">
        <f t="shared" si="194"/>
        <v>SR</v>
      </c>
      <c r="L334" s="95" t="str">
        <f t="shared" si="195"/>
        <v>0</v>
      </c>
      <c r="M334" s="95" t="str">
        <f t="shared" si="196"/>
        <v>0</v>
      </c>
      <c r="N334" s="95" t="str">
        <f t="shared" si="197"/>
        <v>0</v>
      </c>
      <c r="O334" s="95" t="str">
        <f t="shared" si="198"/>
        <v>0</v>
      </c>
      <c r="P334" s="95" t="str">
        <f t="shared" si="199"/>
        <v>0</v>
      </c>
      <c r="Q334" s="95">
        <f>IF(AND(G334=T$10,LEN(G334)&gt;1),1,0)</f>
        <v>0</v>
      </c>
      <c r="R334" s="97">
        <f>Singles!D$11</f>
        <v>9</v>
      </c>
      <c r="S334" s="95">
        <f>IF(AND(H334=H$10,LEN(H334)&gt;1,Q334=1),1,0)</f>
        <v>0</v>
      </c>
      <c r="T334" s="95" t="str">
        <f t="shared" si="200"/>
        <v>No</v>
      </c>
      <c r="U334" s="95" t="str">
        <f>IF(T334="Winner",IF(V334&gt;V316,B325,B307),"")</f>
        <v/>
      </c>
      <c r="V334" s="97">
        <f>VLOOKUP(9,X326:Y341,2,0)</f>
        <v>1</v>
      </c>
      <c r="W334" s="95">
        <v>9</v>
      </c>
      <c r="X334" s="95">
        <f t="shared" si="201"/>
        <v>9</v>
      </c>
      <c r="Y334" s="95">
        <f t="shared" si="202"/>
        <v>1</v>
      </c>
      <c r="Z334" s="95">
        <f t="shared" si="203"/>
        <v>1</v>
      </c>
    </row>
    <row r="335" spans="1:26">
      <c r="A335" s="95">
        <v>10</v>
      </c>
      <c r="B335" s="95">
        <f>Singles!C122</f>
        <v>0</v>
      </c>
      <c r="C335" s="100" t="str">
        <f>IF(OR(LEFT(B335,LEN(B$11))=B$11,LEFT(B335,LEN(C$11))=C$11,LEN(B335)&lt;2),"","Wrong pick")</f>
        <v/>
      </c>
      <c r="G335" s="95" t="str">
        <f>IF(B335=0,"",IF(LEFT(B335,LEN(B$11))=B$11,B$11,C$11))</f>
        <v/>
      </c>
      <c r="H335" s="95" t="str">
        <f t="shared" si="193"/>
        <v>0-0</v>
      </c>
      <c r="J335" s="97">
        <f>Singles!H$12</f>
        <v>1</v>
      </c>
      <c r="K335" s="95" t="str">
        <f t="shared" si="194"/>
        <v>SR</v>
      </c>
      <c r="L335" s="95" t="str">
        <f t="shared" si="195"/>
        <v>0</v>
      </c>
      <c r="M335" s="95" t="str">
        <f t="shared" si="196"/>
        <v>0</v>
      </c>
      <c r="N335" s="95" t="str">
        <f t="shared" si="197"/>
        <v>0</v>
      </c>
      <c r="O335" s="95" t="str">
        <f t="shared" si="198"/>
        <v>0</v>
      </c>
      <c r="P335" s="95" t="str">
        <f t="shared" si="199"/>
        <v>0</v>
      </c>
      <c r="Q335" s="95">
        <f>IF(AND(G335=T$11,LEN(G335)&gt;1),1,0)</f>
        <v>0</v>
      </c>
      <c r="R335" s="97">
        <f>Singles!D$12</f>
        <v>10</v>
      </c>
      <c r="S335" s="95">
        <f>IF(AND(H335=H$11,LEN(H335)&gt;1,Q335=1),1,0)</f>
        <v>0</v>
      </c>
      <c r="T335" s="95" t="str">
        <f t="shared" si="200"/>
        <v>No</v>
      </c>
      <c r="U335" s="95" t="str">
        <f>IF(T335="Winner",IF(V335&gt;V317,B325,B307),"")</f>
        <v/>
      </c>
      <c r="V335" s="97">
        <f>VLOOKUP(10,X326:Y341,2,0)</f>
        <v>1</v>
      </c>
      <c r="W335" s="95">
        <v>10</v>
      </c>
      <c r="X335" s="95">
        <f t="shared" si="201"/>
        <v>10</v>
      </c>
      <c r="Y335" s="95">
        <f t="shared" si="202"/>
        <v>1</v>
      </c>
      <c r="Z335" s="95">
        <f t="shared" si="203"/>
        <v>1</v>
      </c>
    </row>
    <row r="336" spans="1:26">
      <c r="A336" s="95">
        <v>11</v>
      </c>
      <c r="B336" s="95">
        <f>Singles!C123</f>
        <v>0</v>
      </c>
      <c r="C336" s="100" t="str">
        <f>IF(OR(LEFT(B336,LEN(B$12))=B$12,LEFT(B336,LEN(C$12))=C$12,LEN(B336)&lt;2),"","Wrong pick")</f>
        <v/>
      </c>
      <c r="G336" s="95" t="str">
        <f>IF(B336=0,"",IF(LEFT(B336,LEN(B$12))=B$12,B$12,C$12))</f>
        <v/>
      </c>
      <c r="H336" s="95" t="str">
        <f t="shared" si="193"/>
        <v>0-0</v>
      </c>
      <c r="J336" s="97">
        <f>Singles!H$13</f>
        <v>1</v>
      </c>
      <c r="K336" s="95" t="str">
        <f t="shared" si="194"/>
        <v>SR</v>
      </c>
      <c r="L336" s="95" t="str">
        <f t="shared" si="195"/>
        <v>0</v>
      </c>
      <c r="M336" s="95" t="str">
        <f t="shared" si="196"/>
        <v>0</v>
      </c>
      <c r="N336" s="95" t="str">
        <f t="shared" si="197"/>
        <v>0</v>
      </c>
      <c r="O336" s="95" t="str">
        <f t="shared" si="198"/>
        <v>0</v>
      </c>
      <c r="P336" s="95" t="str">
        <f t="shared" si="199"/>
        <v>0</v>
      </c>
      <c r="Q336" s="95">
        <f>IF(AND(G336=T$12,LEN(G336)&gt;1),1,0)</f>
        <v>0</v>
      </c>
      <c r="R336" s="97">
        <f>Singles!D$13</f>
        <v>11</v>
      </c>
      <c r="S336" s="95">
        <f>IF(AND(H336=H$12,LEN(H336)&gt;1,Q336=1),1,0)</f>
        <v>0</v>
      </c>
      <c r="T336" s="95" t="str">
        <f t="shared" si="200"/>
        <v>No</v>
      </c>
      <c r="U336" s="95" t="str">
        <f>IF(T336="Winner",IF(V336&gt;V318,B325,B307),"")</f>
        <v/>
      </c>
      <c r="V336" s="97">
        <f>VLOOKUP(11,X326:Y341,2,0)</f>
        <v>1</v>
      </c>
      <c r="W336" s="95">
        <v>11</v>
      </c>
      <c r="X336" s="95">
        <f t="shared" si="201"/>
        <v>11</v>
      </c>
      <c r="Y336" s="95">
        <f t="shared" si="202"/>
        <v>1</v>
      </c>
      <c r="Z336" s="95">
        <f t="shared" si="203"/>
        <v>1</v>
      </c>
    </row>
    <row r="337" spans="1:26">
      <c r="A337" s="95">
        <v>12</v>
      </c>
      <c r="B337" s="95">
        <f>Singles!C124</f>
        <v>0</v>
      </c>
      <c r="C337" s="100" t="str">
        <f>IF(OR(LEFT(B337,LEN(B$13))=B$13,LEFT(B337,LEN(C$13))=C$13,LEN(B337)&lt;2),"","Wrong pick")</f>
        <v/>
      </c>
      <c r="G337" s="95" t="str">
        <f>IF(B337=0,"",IF(LEFT(B337,LEN(B$13))=B$13,B$13,C$13))</f>
        <v/>
      </c>
      <c r="H337" s="95" t="str">
        <f t="shared" si="193"/>
        <v>0-0</v>
      </c>
      <c r="J337" s="97">
        <f>Singles!H$14</f>
        <v>1</v>
      </c>
      <c r="K337" s="95" t="str">
        <f t="shared" si="194"/>
        <v>SR</v>
      </c>
      <c r="L337" s="95" t="str">
        <f t="shared" si="195"/>
        <v>0</v>
      </c>
      <c r="M337" s="95" t="str">
        <f t="shared" si="196"/>
        <v>0</v>
      </c>
      <c r="N337" s="95" t="str">
        <f t="shared" si="197"/>
        <v>0</v>
      </c>
      <c r="O337" s="95" t="str">
        <f t="shared" si="198"/>
        <v>0</v>
      </c>
      <c r="P337" s="95" t="str">
        <f t="shared" si="199"/>
        <v>0</v>
      </c>
      <c r="Q337" s="95">
        <f>IF(AND(G337=T$13,LEN(G337)&gt;1),1,0)</f>
        <v>0</v>
      </c>
      <c r="R337" s="97">
        <f>Singles!D$14</f>
        <v>12</v>
      </c>
      <c r="S337" s="95">
        <f>IF(AND(H337=H$13,LEN(H337)&gt;1,Q337=1),1,0)</f>
        <v>0</v>
      </c>
      <c r="T337" s="95" t="str">
        <f t="shared" si="200"/>
        <v>No</v>
      </c>
      <c r="U337" s="95" t="str">
        <f>IF(T337="Winner",IF(V337&gt;V319,B325,B307),"")</f>
        <v/>
      </c>
      <c r="V337" s="97">
        <f>VLOOKUP(12,X326:Y341,2,0)</f>
        <v>1</v>
      </c>
      <c r="W337" s="95">
        <v>12</v>
      </c>
      <c r="X337" s="95">
        <f t="shared" si="201"/>
        <v>12</v>
      </c>
      <c r="Y337" s="95">
        <f t="shared" si="202"/>
        <v>1</v>
      </c>
      <c r="Z337" s="95">
        <f t="shared" si="203"/>
        <v>1</v>
      </c>
    </row>
    <row r="338" spans="1:26">
      <c r="A338" s="95">
        <v>13</v>
      </c>
      <c r="B338" s="95">
        <f>Singles!C125</f>
        <v>0</v>
      </c>
      <c r="C338" s="100" t="str">
        <f>IF(OR(LEFT(B338,LEN(B$14))=B$14,LEFT(B338,LEN(C$14))=C$14,LEN(B338)&lt;2),"","Wrong pick")</f>
        <v/>
      </c>
      <c r="G338" s="95" t="str">
        <f>IF(B338=0,"",IF(LEFT(B338,LEN(B$14))=B$14,B$14,C$14))</f>
        <v/>
      </c>
      <c r="H338" s="95" t="str">
        <f t="shared" si="193"/>
        <v>0-0</v>
      </c>
      <c r="J338" s="97">
        <f>Singles!H$15</f>
        <v>1</v>
      </c>
      <c r="K338" s="95" t="str">
        <f t="shared" si="194"/>
        <v>SR</v>
      </c>
      <c r="L338" s="95" t="str">
        <f t="shared" si="195"/>
        <v>0</v>
      </c>
      <c r="M338" s="95" t="str">
        <f t="shared" si="196"/>
        <v>0</v>
      </c>
      <c r="N338" s="95" t="str">
        <f t="shared" si="197"/>
        <v>0</v>
      </c>
      <c r="O338" s="95" t="str">
        <f t="shared" si="198"/>
        <v>0</v>
      </c>
      <c r="P338" s="95" t="str">
        <f t="shared" si="199"/>
        <v>0</v>
      </c>
      <c r="Q338" s="95">
        <f>IF(AND(G338=T$14,LEN(G338)&gt;1),1,0)</f>
        <v>0</v>
      </c>
      <c r="R338" s="97">
        <f>Singles!D$15</f>
        <v>13</v>
      </c>
      <c r="S338" s="95">
        <f>IF(AND(H338=H$14,LEN(H338)&gt;1,Q338=1),1,0)</f>
        <v>0</v>
      </c>
      <c r="T338" s="95" t="str">
        <f t="shared" si="200"/>
        <v>No</v>
      </c>
      <c r="U338" s="95" t="str">
        <f>IF(T338="Winner",IF(V338&gt;V320,B325,B307),"")</f>
        <v/>
      </c>
      <c r="V338" s="97">
        <f>VLOOKUP(13,X326:Y341,2,0)</f>
        <v>1</v>
      </c>
      <c r="W338" s="95">
        <v>13</v>
      </c>
      <c r="X338" s="95">
        <f t="shared" si="201"/>
        <v>13</v>
      </c>
      <c r="Y338" s="95">
        <f t="shared" si="202"/>
        <v>1</v>
      </c>
      <c r="Z338" s="95">
        <f t="shared" si="203"/>
        <v>1</v>
      </c>
    </row>
    <row r="339" spans="1:26">
      <c r="A339" s="95">
        <v>14</v>
      </c>
      <c r="B339" s="95">
        <f>Singles!C126</f>
        <v>0</v>
      </c>
      <c r="C339" s="100" t="str">
        <f>IF(OR(LEFT(B339,LEN(B$15))=B$15,LEFT(B339,LEN(C$15))=C$15,LEN(B339)&lt;2),"","Wrong pick")</f>
        <v/>
      </c>
      <c r="G339" s="95" t="str">
        <f>IF(B339=0,"",IF(LEFT(B339,LEN(B$15))=B$15,B$15,C$15))</f>
        <v/>
      </c>
      <c r="H339" s="95" t="str">
        <f t="shared" si="193"/>
        <v>0-0</v>
      </c>
      <c r="J339" s="97">
        <f>Singles!H$16</f>
        <v>1</v>
      </c>
      <c r="K339" s="95" t="str">
        <f t="shared" si="194"/>
        <v>SR</v>
      </c>
      <c r="L339" s="95" t="str">
        <f t="shared" si="195"/>
        <v>0</v>
      </c>
      <c r="M339" s="95" t="str">
        <f t="shared" si="196"/>
        <v>0</v>
      </c>
      <c r="N339" s="95" t="str">
        <f t="shared" si="197"/>
        <v>0</v>
      </c>
      <c r="O339" s="95" t="str">
        <f t="shared" si="198"/>
        <v>0</v>
      </c>
      <c r="P339" s="95" t="str">
        <f t="shared" si="199"/>
        <v>0</v>
      </c>
      <c r="Q339" s="95">
        <f>IF(AND(G339=T$15,LEN(G339)&gt;1),1,0)</f>
        <v>0</v>
      </c>
      <c r="R339" s="97">
        <f>Singles!D$16</f>
        <v>14</v>
      </c>
      <c r="S339" s="95">
        <f>IF(AND(H339=H$15,LEN(H339)&gt;1,Q339=1),1,0)</f>
        <v>0</v>
      </c>
      <c r="T339" s="95" t="str">
        <f t="shared" si="200"/>
        <v>No</v>
      </c>
      <c r="U339" s="95" t="str">
        <f>IF(T339="Winner",IF(V339&gt;V321,B325,B307),"")</f>
        <v/>
      </c>
      <c r="V339" s="97">
        <f>VLOOKUP(14,X326:Y341,2,0)</f>
        <v>1</v>
      </c>
      <c r="W339" s="95">
        <v>14</v>
      </c>
      <c r="X339" s="95">
        <f t="shared" si="201"/>
        <v>14</v>
      </c>
      <c r="Y339" s="95">
        <f t="shared" si="202"/>
        <v>1</v>
      </c>
      <c r="Z339" s="95">
        <f t="shared" si="203"/>
        <v>1</v>
      </c>
    </row>
    <row r="340" spans="1:26">
      <c r="A340" s="95">
        <v>15</v>
      </c>
      <c r="B340" s="95">
        <f>Singles!C127</f>
        <v>0</v>
      </c>
      <c r="C340" s="100" t="str">
        <f>IF(OR(LEFT(B340,LEN(B$16))=B$16,LEFT(B340,LEN(C$16))=C$16,LEN(B340)&lt;2),"","Wrong pick")</f>
        <v/>
      </c>
      <c r="G340" s="95" t="str">
        <f>IF(B340=0,"",IF(LEFT(B340,LEN(B$16))=B$16,B$16,C$16))</f>
        <v/>
      </c>
      <c r="H340" s="95" t="str">
        <f t="shared" si="193"/>
        <v>0-0</v>
      </c>
      <c r="J340" s="97">
        <f>Singles!H$17</f>
        <v>1</v>
      </c>
      <c r="K340" s="95" t="str">
        <f t="shared" si="194"/>
        <v>SR</v>
      </c>
      <c r="L340" s="95" t="str">
        <f t="shared" si="195"/>
        <v>0</v>
      </c>
      <c r="M340" s="95" t="str">
        <f t="shared" si="196"/>
        <v>0</v>
      </c>
      <c r="N340" s="95" t="str">
        <f t="shared" si="197"/>
        <v>0</v>
      </c>
      <c r="O340" s="95" t="str">
        <f t="shared" si="198"/>
        <v>0</v>
      </c>
      <c r="P340" s="95" t="str">
        <f t="shared" si="199"/>
        <v>0</v>
      </c>
      <c r="Q340" s="95">
        <f>IF(AND(G340=T$16,LEN(G340)&gt;1),1,0)</f>
        <v>0</v>
      </c>
      <c r="R340" s="97">
        <f>Singles!D$17</f>
        <v>15</v>
      </c>
      <c r="S340" s="95">
        <f>IF(AND(H340=H$16,LEN(H340)&gt;1,Q340=1),1,0)</f>
        <v>0</v>
      </c>
      <c r="T340" s="95" t="str">
        <f t="shared" si="200"/>
        <v>No</v>
      </c>
      <c r="U340" s="95" t="str">
        <f>IF(T340="Winner",IF(V340&gt;V322,B325,B307),"")</f>
        <v/>
      </c>
      <c r="V340" s="97">
        <f>VLOOKUP(15,X326:Y341,2,0)</f>
        <v>1</v>
      </c>
      <c r="W340" s="95">
        <v>15</v>
      </c>
      <c r="X340" s="95">
        <f t="shared" si="201"/>
        <v>15</v>
      </c>
      <c r="Y340" s="95">
        <f t="shared" si="202"/>
        <v>1</v>
      </c>
      <c r="Z340" s="95">
        <f t="shared" si="203"/>
        <v>1</v>
      </c>
    </row>
    <row r="341" spans="1:26">
      <c r="A341" s="95">
        <v>16</v>
      </c>
      <c r="B341" s="95">
        <f>Singles!C128</f>
        <v>0</v>
      </c>
      <c r="C341" s="100" t="str">
        <f>IF(OR(LEFT(B341,LEN(B$17))=B$17,LEFT(B341,LEN(C$17))=C$17,LEN(B341)&lt;2),"","Wrong pick")</f>
        <v/>
      </c>
      <c r="G341" s="95" t="str">
        <f>IF(B341=0,"",IF(LEFT(B341,LEN(B$17))=B$17,B$17,C$17))</f>
        <v/>
      </c>
      <c r="H341" s="95" t="str">
        <f t="shared" si="193"/>
        <v>0-0</v>
      </c>
      <c r="J341" s="97">
        <f>Singles!H$18</f>
        <v>1</v>
      </c>
      <c r="K341" s="95" t="str">
        <f t="shared" si="194"/>
        <v>SR</v>
      </c>
      <c r="L341" s="95" t="str">
        <f t="shared" si="195"/>
        <v>0</v>
      </c>
      <c r="M341" s="95" t="str">
        <f t="shared" si="196"/>
        <v>0</v>
      </c>
      <c r="N341" s="95" t="str">
        <f t="shared" si="197"/>
        <v>0</v>
      </c>
      <c r="O341" s="95" t="str">
        <f t="shared" si="198"/>
        <v>0</v>
      </c>
      <c r="P341" s="95" t="str">
        <f t="shared" si="199"/>
        <v>0</v>
      </c>
      <c r="Q341" s="95">
        <f>IF(AND(G341=T$17,LEN(G341)&gt;1),1,0)</f>
        <v>0</v>
      </c>
      <c r="R341" s="97">
        <f>Singles!D$18</f>
        <v>16</v>
      </c>
      <c r="S341" s="95">
        <f>IF(AND(H341=H$17,LEN(H341)&gt;1,Q341=1),1,0)</f>
        <v>0</v>
      </c>
      <c r="T341" s="95" t="str">
        <f t="shared" si="200"/>
        <v>No</v>
      </c>
      <c r="U341" s="95" t="str">
        <f>IF(T341="Winner",IF(V341&gt;V323,B325,B307),"")</f>
        <v/>
      </c>
      <c r="V341" s="97">
        <f>VLOOKUP(16,X326:Y341,2,0)</f>
        <v>1</v>
      </c>
      <c r="W341" s="95">
        <v>16</v>
      </c>
      <c r="X341" s="95">
        <f t="shared" si="201"/>
        <v>16</v>
      </c>
      <c r="Y341" s="95">
        <f t="shared" si="202"/>
        <v>1</v>
      </c>
      <c r="Z341" s="95">
        <f t="shared" si="203"/>
        <v>1</v>
      </c>
    </row>
    <row r="342" spans="1:26">
      <c r="T342" s="95" t="s">
        <v>89</v>
      </c>
      <c r="U342" s="95" t="s">
        <v>125</v>
      </c>
      <c r="W342" s="95">
        <v>17</v>
      </c>
    </row>
    <row r="343" spans="1:26">
      <c r="A343" s="95" t="e">
        <f>IF(LEN(VLOOKUP(B343,Singles!$A$2:$B$33,2,0))&gt;0,VLOOKUP(B343,Singles!$A$2:$B$33,2,0),"")</f>
        <v>#N/A</v>
      </c>
      <c r="B343" s="96">
        <f>Singles!D112</f>
        <v>0</v>
      </c>
      <c r="C343" s="96">
        <v>19</v>
      </c>
      <c r="D343" s="95" t="e">
        <f>VLOOKUP(B343,Singles!$A$2:$C$33,3,0)</f>
        <v>#N/A</v>
      </c>
      <c r="J343" s="95" t="s">
        <v>88</v>
      </c>
      <c r="Q343" s="95" t="s">
        <v>121</v>
      </c>
      <c r="S343" s="95" t="s">
        <v>122</v>
      </c>
      <c r="T343" s="95" t="e">
        <f>IF(LEN(A343)&gt;0,"("&amp;A343&amp;") "&amp;B343,B343)&amp;IF(LEN(D343)&gt;1," ("&amp;D343&amp;")","")</f>
        <v>#N/A</v>
      </c>
      <c r="V343" s="95" t="s">
        <v>123</v>
      </c>
      <c r="Y343" s="95" t="s">
        <v>123</v>
      </c>
    </row>
    <row r="344" spans="1:26">
      <c r="A344" s="95">
        <v>1</v>
      </c>
      <c r="B344" s="95">
        <f>Singles!D113</f>
        <v>0</v>
      </c>
      <c r="C344" s="99" t="str">
        <f>IF(OR(LEFT(B344,LEN(B$2))=B$2,LEFT(B344,LEN(C$2))=C$2,LEN(B344)&lt;2),"","Wrong pick")</f>
        <v/>
      </c>
      <c r="D344" s="95">
        <f t="shared" ref="D344:D359" ca="1" si="204">IF(OR(G344=G362,INDIRECT(ADDRESS(A344+1,6,1))&gt;0),0,1)</f>
        <v>0</v>
      </c>
      <c r="E344" s="95" t="str">
        <f ca="1">IF(AND(D344=1,J344=$I$2),G344&amp;", ","")&amp;IF(AND(D345=1,J345=$I$2),G345&amp;", ","")&amp;IF(AND(D346=1,J346=$I$2),G346&amp;", ","")&amp;IF(AND(D347=1,J347=$I$2),G347&amp;", ","")&amp;IF(AND(D348=1,J348=$I$2),G348&amp;", ","")&amp;IF(AND(D349=1,J349=$I$2),G349&amp;", ","")&amp;IF(AND(D350=1,J350=$I$2),G350&amp;", ","")&amp;IF(AND(D351=1,J351=$I$2),G351&amp;", ","")&amp;IF(AND(D352=1,J352=$I$2),G352&amp;", ","")&amp;IF(AND(D353=1,J353=$I$2),G353&amp;", ","")&amp;IF(AND(D354=1,J354=$I$2),G354&amp;", ","")&amp;IF(AND(D355=1,J355=$I$2),G355&amp;", ","")&amp;IF(AND(D356=1,J356=$I$2),G356&amp;", ","")&amp;IF(AND(D357=1,J357=$I$2),G357&amp;", ","")&amp;IF(AND(D358=1,J358=$I$2),G358&amp;", ","")&amp;IF(AND(D359=1,J359=$I$2),G359&amp;", ","")</f>
        <v/>
      </c>
      <c r="F344" s="95" t="str">
        <f>IF(AND(SUM(Z344:Z359)=$I$4,NOT(B343="Bye")),"Missing picks from "&amp;B343&amp;" ","")</f>
        <v xml:space="preserve">Missing picks from 0 </v>
      </c>
      <c r="G344" s="95" t="str">
        <f>IF(B344=0,"",IF(LEFT(B344,LEN(B$2))=B$2,B$2,C$2))</f>
        <v/>
      </c>
      <c r="H344" s="95" t="str">
        <f t="shared" ref="H344:H359" si="205">IF(L344="","",IF(K344="PTS",IF(LEN(O344)&lt;8,"2-0","2-1"),LEFT(O344,1)&amp;"-"&amp;RIGHT(O344,1)))</f>
        <v>0-0</v>
      </c>
      <c r="I344" s="95" t="str">
        <f ca="1">IF(AND(J344=Singles!$H$21,INDIRECT(ADDRESS(A344+1,6,1))=0,NOT(INDIRECT(ADDRESS(A344+1,5,1))="")),IF(D344=0,IF(H344=H362,"",G344&amp;" "&amp;H344&amp;" v "&amp;H362&amp;", "),G344&amp;" "&amp;H344&amp;" vs. "&amp;G362&amp;" "&amp;H362&amp;", "),"")</f>
        <v/>
      </c>
      <c r="J344" s="97">
        <f>Singles!H$3</f>
        <v>1</v>
      </c>
      <c r="K344" s="95" t="str">
        <f t="shared" ref="K344:K359" si="206">IF(LEN(L344)&gt;0,IF(LEN(O344)&lt;4,"SR","PTS"),"")</f>
        <v>SR</v>
      </c>
      <c r="L344" s="95" t="str">
        <f t="shared" ref="L344:L359" si="207">TRIM(RIGHT(B344,LEN(B344)-LEN(G344)))</f>
        <v>0</v>
      </c>
      <c r="M344" s="95" t="str">
        <f t="shared" ref="M344:M359" si="208">SUBSTITUTE(L344,"-","")</f>
        <v>0</v>
      </c>
      <c r="N344" s="95" t="str">
        <f t="shared" ref="N344:N359" si="209">SUBSTITUTE(M344,","," ")</f>
        <v>0</v>
      </c>
      <c r="O344" s="95" t="str">
        <f t="shared" ref="O344:O359" si="210">IF(AND(LEN(TRIM(SUBSTITUTE(P344,"/","")))&gt;6,OR(LEFT(TRIM(SUBSTITUTE(P344,"/","")),2)="20",LEFT(TRIM(SUBSTITUTE(P344,"/","")),2)="21")),RIGHT(TRIM(SUBSTITUTE(P344,"/","")),LEN(TRIM(SUBSTITUTE(P344,"/","")))-3),TRIM(SUBSTITUTE(P344,"/","")))</f>
        <v>0</v>
      </c>
      <c r="P344" s="95" t="str">
        <f t="shared" ref="P344:P359" si="211">SUBSTITUTE(N344,":","")</f>
        <v>0</v>
      </c>
      <c r="Q344" s="95">
        <f>IF(AND(G344=T$2,LEN(G344)&gt;1),1,0)</f>
        <v>0</v>
      </c>
      <c r="R344" s="97">
        <f>Singles!D$3</f>
        <v>1</v>
      </c>
      <c r="S344" s="95">
        <f>IF(AND(H344=H$2,LEN(H344)&gt;1,Q344=1),1,0)</f>
        <v>0</v>
      </c>
      <c r="T344" s="95" t="str">
        <f ca="1">" SR Differences: "&amp;IF(LEN(I344&amp;I345&amp;I346&amp;I347&amp;I348&amp;I349&amp;I350&amp;I351&amp;I352&amp;I353&amp;I354&amp;I355&amp;I356&amp;I357&amp;I358&amp;I359)&lt;3,"None..",I344&amp;I345&amp;I346&amp;I347&amp;I348&amp;I349&amp;I350&amp;I351&amp;I352&amp;I353&amp;I354&amp;I355&amp;I356&amp;I357&amp;I358&amp;I359)</f>
        <v xml:space="preserve"> SR Differences: None..</v>
      </c>
      <c r="V344" s="97">
        <f>VLOOKUP(1,X344:Y359,2,0)</f>
        <v>1</v>
      </c>
      <c r="X344" s="95">
        <f t="shared" ref="X344:X359" si="212">R344</f>
        <v>1</v>
      </c>
      <c r="Y344" s="95">
        <f t="shared" ref="Y344:Y359" si="213">IF(Q344=1,IF(S344=1,4,3),IF(H344="2-1",2,1))</f>
        <v>1</v>
      </c>
      <c r="Z344" s="95">
        <f t="shared" ref="Z344:Z359" si="214">IF(AND($I$2=J344,B344=0),1,0)</f>
        <v>1</v>
      </c>
    </row>
    <row r="345" spans="1:26">
      <c r="A345" s="95">
        <v>2</v>
      </c>
      <c r="B345" s="95">
        <f>Singles!D114</f>
        <v>0</v>
      </c>
      <c r="C345" s="100" t="str">
        <f>IF(OR(LEFT(B345,LEN(B$3))=B$3,LEFT(B345,LEN(C$3))=C$3,LEN(B345)&lt;2),"","Wrong pick")</f>
        <v/>
      </c>
      <c r="D345" s="95">
        <f t="shared" ca="1" si="204"/>
        <v>0</v>
      </c>
      <c r="G345" s="95" t="str">
        <f>IF(B345=0,"",IF(LEFT(B345,LEN(B$3))=B$3,B$3,C$3))</f>
        <v/>
      </c>
      <c r="H345" s="95" t="str">
        <f t="shared" si="205"/>
        <v>0-0</v>
      </c>
      <c r="I345" s="95" t="str">
        <f ca="1">IF(AND(J345=Singles!$H$21,INDIRECT(ADDRESS(A345+1,6,1))=0,NOT(INDIRECT(ADDRESS(A345+1,5,1))="")),IF(D345=0,IF(H345=H363,"",G345&amp;" "&amp;H345&amp;" v "&amp;H363&amp;", "),G345&amp;" "&amp;H345&amp;" vs. "&amp;G363&amp;" "&amp;H363&amp;", "),"")</f>
        <v/>
      </c>
      <c r="J345" s="97">
        <f>Singles!H$4</f>
        <v>1</v>
      </c>
      <c r="K345" s="95" t="str">
        <f t="shared" si="206"/>
        <v>SR</v>
      </c>
      <c r="L345" s="95" t="str">
        <f t="shared" si="207"/>
        <v>0</v>
      </c>
      <c r="M345" s="95" t="str">
        <f t="shared" si="208"/>
        <v>0</v>
      </c>
      <c r="N345" s="95" t="str">
        <f t="shared" si="209"/>
        <v>0</v>
      </c>
      <c r="O345" s="95" t="str">
        <f t="shared" si="210"/>
        <v>0</v>
      </c>
      <c r="P345" s="95" t="str">
        <f t="shared" si="211"/>
        <v>0</v>
      </c>
      <c r="Q345" s="95">
        <f>IF(AND(G345=T$3,LEN(G345)&gt;1),1,0)</f>
        <v>0</v>
      </c>
      <c r="R345" s="97">
        <f>Singles!D$4</f>
        <v>2</v>
      </c>
      <c r="S345" s="95">
        <f>IF(AND(H345=H$3,LEN(H345)&gt;1,Q345=1),1,0)</f>
        <v>0</v>
      </c>
      <c r="T345" s="95" t="str">
        <f ca="1">IF(T346&gt;0,LEFT(E344,LEN(E344)-2)&amp;" vs. "&amp;LEFT(E362,LEN(E362)-2),IF(SUMIF(Singles!$H$3:$H$18,"="&amp;Singles!$H$21,Singles!$I$3:$I$18)=0,"Same winners;",""))</f>
        <v>Same winners;</v>
      </c>
      <c r="V345" s="97">
        <f>VLOOKUP(2,X344:Y359,2,0)</f>
        <v>1</v>
      </c>
      <c r="X345" s="95">
        <f t="shared" si="212"/>
        <v>2</v>
      </c>
      <c r="Y345" s="95">
        <f t="shared" si="213"/>
        <v>1</v>
      </c>
      <c r="Z345" s="95">
        <f t="shared" si="214"/>
        <v>1</v>
      </c>
    </row>
    <row r="346" spans="1:26">
      <c r="A346" s="95">
        <v>3</v>
      </c>
      <c r="B346" s="95">
        <f>Singles!D115</f>
        <v>0</v>
      </c>
      <c r="C346" s="100" t="str">
        <f>IF(OR(LEFT(B346,LEN(B$4))=B$4,LEFT(B346,LEN(C$4))=C$4,LEN(B346)&lt;2),"","Wrong pick")</f>
        <v/>
      </c>
      <c r="D346" s="95">
        <f t="shared" ca="1" si="204"/>
        <v>0</v>
      </c>
      <c r="G346" s="95" t="str">
        <f>IF(B346=0,"",IF(LEFT(B346,LEN(B$4))=B$4,B$4,C$4))</f>
        <v/>
      </c>
      <c r="H346" s="95" t="str">
        <f t="shared" si="205"/>
        <v>0-0</v>
      </c>
      <c r="I346" s="95" t="str">
        <f ca="1">IF(AND(J346=Singles!$H$21,INDIRECT(ADDRESS(A346+1,6,1))=0,NOT(INDIRECT(ADDRESS(A346+1,5,1))="")),IF(D346=0,IF(H346=H364,"",G346&amp;" "&amp;H346&amp;" v "&amp;H364&amp;", "),G346&amp;" "&amp;H346&amp;" vs. "&amp;G364&amp;" "&amp;H364&amp;", "),"")</f>
        <v/>
      </c>
      <c r="J346" s="97">
        <f>Singles!H$5</f>
        <v>1</v>
      </c>
      <c r="K346" s="95" t="str">
        <f t="shared" si="206"/>
        <v>SR</v>
      </c>
      <c r="L346" s="95" t="str">
        <f t="shared" si="207"/>
        <v>0</v>
      </c>
      <c r="M346" s="95" t="str">
        <f t="shared" si="208"/>
        <v>0</v>
      </c>
      <c r="N346" s="95" t="str">
        <f t="shared" si="209"/>
        <v>0</v>
      </c>
      <c r="O346" s="95" t="str">
        <f t="shared" si="210"/>
        <v>0</v>
      </c>
      <c r="P346" s="95" t="str">
        <f t="shared" si="211"/>
        <v>0</v>
      </c>
      <c r="Q346" s="95">
        <f>IF(AND(G346=T$4,LEN(G346)&gt;1),1,0)</f>
        <v>0</v>
      </c>
      <c r="R346" s="97">
        <f>Singles!D$5</f>
        <v>3</v>
      </c>
      <c r="S346" s="95">
        <f>IF(AND(H346=H$4,LEN(H346)&gt;1,Q346=1),1,0)</f>
        <v>0</v>
      </c>
      <c r="T346" s="101">
        <f ca="1">SUMIF(J344:J359,$I$2,D344:D359)</f>
        <v>0</v>
      </c>
      <c r="V346" s="97">
        <f>VLOOKUP(3,X344:Y359,2,0)</f>
        <v>1</v>
      </c>
      <c r="X346" s="95">
        <f t="shared" si="212"/>
        <v>3</v>
      </c>
      <c r="Y346" s="95">
        <f t="shared" si="213"/>
        <v>1</v>
      </c>
      <c r="Z346" s="95">
        <f t="shared" si="214"/>
        <v>1</v>
      </c>
    </row>
    <row r="347" spans="1:26">
      <c r="A347" s="95">
        <v>4</v>
      </c>
      <c r="B347" s="95">
        <f>Singles!D116</f>
        <v>0</v>
      </c>
      <c r="C347" s="100" t="str">
        <f>IF(OR(LEFT(B347,LEN(B$5))=B$5,LEFT(B347,LEN(C$5))=C$5,LEN(B347)&lt;2),"","Wrong pick")</f>
        <v/>
      </c>
      <c r="D347" s="95">
        <f t="shared" ca="1" si="204"/>
        <v>0</v>
      </c>
      <c r="G347" s="95" t="str">
        <f>IF(B347=0,"",IF(LEFT(B347,LEN(B$5))=B$5,B$5,C$5))</f>
        <v/>
      </c>
      <c r="H347" s="95" t="str">
        <f t="shared" si="205"/>
        <v>0-0</v>
      </c>
      <c r="I347" s="95" t="str">
        <f ca="1">IF(AND(J347=Singles!$H$21,INDIRECT(ADDRESS(A347+1,6,1))=0,NOT(INDIRECT(ADDRESS(A347+1,5,1))="")),IF(D347=0,IF(H347=H365,"",G347&amp;" "&amp;H347&amp;" v "&amp;H365&amp;", "),G347&amp;" "&amp;H347&amp;" vs. "&amp;G365&amp;" "&amp;H365&amp;", "),"")</f>
        <v/>
      </c>
      <c r="J347" s="97">
        <f>Singles!H$6</f>
        <v>1</v>
      </c>
      <c r="K347" s="95" t="str">
        <f t="shared" si="206"/>
        <v>SR</v>
      </c>
      <c r="L347" s="95" t="str">
        <f t="shared" si="207"/>
        <v>0</v>
      </c>
      <c r="M347" s="95" t="str">
        <f t="shared" si="208"/>
        <v>0</v>
      </c>
      <c r="N347" s="95" t="str">
        <f t="shared" si="209"/>
        <v>0</v>
      </c>
      <c r="O347" s="95" t="str">
        <f t="shared" si="210"/>
        <v>0</v>
      </c>
      <c r="P347" s="95" t="str">
        <f t="shared" si="211"/>
        <v>0</v>
      </c>
      <c r="Q347" s="95">
        <f>IF(AND(G347=T$5,LEN(G347)&gt;1),1,0)</f>
        <v>0</v>
      </c>
      <c r="R347" s="97">
        <f>Singles!D$6</f>
        <v>4</v>
      </c>
      <c r="S347" s="95">
        <f>IF(AND(H347=H$5,LEN(H347)&gt;1,Q347=1),1,0)</f>
        <v>0</v>
      </c>
      <c r="T347" s="102" t="e">
        <f>IF(T349&lt;10,"0","")&amp;T349&amp;":"&amp;IF(T350&lt;10,"0","")&amp;T350&amp;" | [b]"&amp;IF(LEN(U347)&gt;0,U347,T343&amp;"[/b] vs. [b]"&amp;T361&amp;"[/b]"&amp;IF(Singles!$H$21&gt;1," (SR "&amp;U349&amp;":"&amp;U350&amp;")","")&amp;" - "&amp;IF(COUNTIF(C344:C377,"=Wrong Pick")&gt;0,"Incorrect pick, probably a spelling mistake",IF(AND(F344="",F362=""),T345&amp;IF(AND(OR(AND(Singles!$H$20&gt;1,Singles!$H$21&lt;Singles!$H$20),MOD(T346+T349+T350,2)=0),NOT(Singles!$H$23="No")),LEFT(T344,LEN(T344)-2),""),F344&amp;F362)))</f>
        <v>#N/A</v>
      </c>
      <c r="U347" s="95" t="str">
        <f>IF(B343="Bye","Bye[/b] vs. [b][color=blue]"&amp;T361&amp;"[/color][/b]",IF(B361="Bye","[color=blue]"&amp;T343&amp;"[/color][/b] vs. [b]Bye[/b]",""))</f>
        <v/>
      </c>
      <c r="V347" s="97">
        <f>VLOOKUP(4,X344:Y359,2,0)</f>
        <v>1</v>
      </c>
      <c r="X347" s="95">
        <f t="shared" si="212"/>
        <v>4</v>
      </c>
      <c r="Y347" s="95">
        <f t="shared" si="213"/>
        <v>1</v>
      </c>
      <c r="Z347" s="95">
        <f t="shared" si="214"/>
        <v>1</v>
      </c>
    </row>
    <row r="348" spans="1:26">
      <c r="A348" s="95">
        <v>5</v>
      </c>
      <c r="B348" s="95">
        <f>Singles!D117</f>
        <v>0</v>
      </c>
      <c r="C348" s="100" t="str">
        <f>IF(OR(LEFT(B348,LEN(B$6))=B$6,LEFT(B348,LEN(C$6))=C$6,LEN(B348)&lt;2),"","Wrong pick")</f>
        <v/>
      </c>
      <c r="D348" s="95">
        <f t="shared" ca="1" si="204"/>
        <v>0</v>
      </c>
      <c r="G348" s="95" t="str">
        <f>IF(B348=0,"",IF(LEFT(B348,LEN(B$6))=B$6,B$6,C$6))</f>
        <v/>
      </c>
      <c r="H348" s="95" t="str">
        <f t="shared" si="205"/>
        <v>0-0</v>
      </c>
      <c r="I348" s="95" t="str">
        <f ca="1">IF(AND(J348=Singles!$H$21,INDIRECT(ADDRESS(A348+1,6,1))=0,NOT(INDIRECT(ADDRESS(A348+1,5,1))="")),IF(D348=0,IF(H348=H366,"",G348&amp;" "&amp;H348&amp;" v "&amp;H366&amp;", "),G348&amp;" "&amp;H348&amp;" vs. "&amp;G366&amp;" "&amp;H366&amp;", "),"")</f>
        <v/>
      </c>
      <c r="J348" s="97">
        <f>Singles!H$7</f>
        <v>1</v>
      </c>
      <c r="K348" s="95" t="str">
        <f t="shared" si="206"/>
        <v>SR</v>
      </c>
      <c r="L348" s="95" t="str">
        <f t="shared" si="207"/>
        <v>0</v>
      </c>
      <c r="M348" s="95" t="str">
        <f t="shared" si="208"/>
        <v>0</v>
      </c>
      <c r="N348" s="95" t="str">
        <f t="shared" si="209"/>
        <v>0</v>
      </c>
      <c r="O348" s="95" t="str">
        <f t="shared" si="210"/>
        <v>0</v>
      </c>
      <c r="P348" s="95" t="str">
        <f t="shared" si="211"/>
        <v>0</v>
      </c>
      <c r="Q348" s="95">
        <f>IF(AND(G348=T$6,LEN(G348)&gt;1),1,0)</f>
        <v>0</v>
      </c>
      <c r="R348" s="97">
        <f>Singles!D$7</f>
        <v>5</v>
      </c>
      <c r="S348" s="95">
        <f>IF(AND(H348=H$6,LEN(H348)&gt;1,Q348=1),1,0)</f>
        <v>0</v>
      </c>
      <c r="T348" s="103" t="str">
        <f>IF(Singles!$H$22=$F$18,IF(T349&gt;T350,B343,IF(T349&lt;T350,B361,IF(U349&gt;U350,B343,IF(U349&lt;U350,B361,T352)))),"No decision yet")</f>
        <v>No decision yet</v>
      </c>
      <c r="U348" s="104" t="e">
        <f>IF(T349&lt;10,"0","")&amp;T349&amp;":"&amp;IF(T350&lt;10,"0","")&amp;T350&amp;" | "&amp;IF(AND(A343&gt;0,A343&lt;33,B343=T348),"[b][color=Blue]"&amp;T343&amp;"[/color][/b]",IF(B343=T348,"[color=Blue]"&amp;T343&amp;"[/color]",IF(AND(A343&gt;0,A343&lt;33),"[b]"&amp;T343&amp;"[/b]",T343)))&amp;" vs. "&amp;IF(AND(A361&gt;0,A361&lt;33,B361=T348),"[b][color=Blue]"&amp;T361&amp;"[/color][/b]",IF(B361=T348,"[color=Blue]"&amp;T361&amp;"[/color]",IF(AND(A361&gt;0,A361&lt;33),"[b]"&amp;T361&amp;"[/b]",T361)))&amp;IF(OR(Singles!$B$40="yes",T349=T350)," #SRs: "&amp;U349&amp;"-"&amp;U350,"")&amp;IF(AND(T349=T350,U349=U350,U352&lt;17,Singles!$H$22=$F$18),", Shootout: SR"&amp;U352,"")</f>
        <v>#N/A</v>
      </c>
      <c r="V348" s="97">
        <f>VLOOKUP(5,X344:Y359,2,0)</f>
        <v>1</v>
      </c>
      <c r="X348" s="95">
        <f t="shared" si="212"/>
        <v>5</v>
      </c>
      <c r="Y348" s="95">
        <f t="shared" si="213"/>
        <v>1</v>
      </c>
      <c r="Z348" s="95">
        <f t="shared" si="214"/>
        <v>1</v>
      </c>
    </row>
    <row r="349" spans="1:26">
      <c r="A349" s="95">
        <v>6</v>
      </c>
      <c r="B349" s="95">
        <f>Singles!D118</f>
        <v>0</v>
      </c>
      <c r="C349" s="100" t="str">
        <f>IF(OR(LEFT(B349,LEN(B$7))=B$7,LEFT(B349,LEN(C$7))=C$7,LEN(B349)&lt;2),"","Wrong pick")</f>
        <v/>
      </c>
      <c r="D349" s="95">
        <f t="shared" ca="1" si="204"/>
        <v>0</v>
      </c>
      <c r="G349" s="95" t="str">
        <f>IF(B349=0,"",IF(LEFT(B349,LEN(B$7))=B$7,B$7,C$7))</f>
        <v/>
      </c>
      <c r="H349" s="95" t="str">
        <f t="shared" si="205"/>
        <v>0-0</v>
      </c>
      <c r="I349" s="95" t="str">
        <f ca="1">IF(AND(J349=Singles!$H$21,INDIRECT(ADDRESS(A349+1,6,1))=0,NOT(INDIRECT(ADDRESS(A349+1,5,1))="")),IF(D349=0,IF(H349=H367,"",G349&amp;" "&amp;H349&amp;" v "&amp;H367&amp;", "),G349&amp;" "&amp;H349&amp;" vs. "&amp;G367&amp;" "&amp;H367&amp;", "),"")</f>
        <v/>
      </c>
      <c r="J349" s="97">
        <f>Singles!H$8</f>
        <v>1</v>
      </c>
      <c r="K349" s="95" t="str">
        <f t="shared" si="206"/>
        <v>SR</v>
      </c>
      <c r="L349" s="95" t="str">
        <f t="shared" si="207"/>
        <v>0</v>
      </c>
      <c r="M349" s="95" t="str">
        <f t="shared" si="208"/>
        <v>0</v>
      </c>
      <c r="N349" s="95" t="str">
        <f t="shared" si="209"/>
        <v>0</v>
      </c>
      <c r="O349" s="95" t="str">
        <f t="shared" si="210"/>
        <v>0</v>
      </c>
      <c r="P349" s="95" t="str">
        <f t="shared" si="211"/>
        <v>0</v>
      </c>
      <c r="Q349" s="95">
        <f>IF(AND(G349=T$7,LEN(G349)&gt;1),1,0)</f>
        <v>0</v>
      </c>
      <c r="R349" s="97">
        <f>Singles!D$8</f>
        <v>6</v>
      </c>
      <c r="S349" s="95">
        <f>IF(AND(H349=H$7,LEN(H349)&gt;1,Q349=1),1,0)</f>
        <v>0</v>
      </c>
      <c r="T349" s="105">
        <f>SUM(Q344:Q359)</f>
        <v>0</v>
      </c>
      <c r="U349" s="97">
        <f>SUM(S344:S359)</f>
        <v>0</v>
      </c>
      <c r="V349" s="97">
        <f>VLOOKUP(6,X344:Y359,2,0)</f>
        <v>1</v>
      </c>
      <c r="X349" s="95">
        <f t="shared" si="212"/>
        <v>6</v>
      </c>
      <c r="Y349" s="95">
        <f t="shared" si="213"/>
        <v>1</v>
      </c>
      <c r="Z349" s="95">
        <f t="shared" si="214"/>
        <v>1</v>
      </c>
    </row>
    <row r="350" spans="1:26">
      <c r="A350" s="95">
        <v>7</v>
      </c>
      <c r="B350" s="95">
        <f>Singles!D119</f>
        <v>0</v>
      </c>
      <c r="C350" s="100" t="str">
        <f>IF(OR(LEFT(B350,LEN(B$8))=B$8,LEFT(B350,LEN(C$8))=C$8,LEN(B350)&lt;2),"","Wrong pick")</f>
        <v/>
      </c>
      <c r="D350" s="95">
        <f t="shared" ca="1" si="204"/>
        <v>0</v>
      </c>
      <c r="G350" s="95" t="str">
        <f>IF(B350=0,"",IF(LEFT(B350,LEN(B$8))=B$8,B$8,C$8))</f>
        <v/>
      </c>
      <c r="H350" s="95" t="str">
        <f t="shared" si="205"/>
        <v>0-0</v>
      </c>
      <c r="I350" s="95" t="str">
        <f ca="1">IF(AND(J350=Singles!$H$21,INDIRECT(ADDRESS(A350+1,6,1))=0,NOT(INDIRECT(ADDRESS(A350+1,5,1))="")),IF(D350=0,IF(H350=H368,"",G350&amp;" "&amp;H350&amp;" v "&amp;H368&amp;", "),G350&amp;" "&amp;H350&amp;" vs. "&amp;G368&amp;" "&amp;H368&amp;", "),"")</f>
        <v/>
      </c>
      <c r="J350" s="97">
        <f>Singles!H$9</f>
        <v>1</v>
      </c>
      <c r="K350" s="95" t="str">
        <f t="shared" si="206"/>
        <v>SR</v>
      </c>
      <c r="L350" s="95" t="str">
        <f t="shared" si="207"/>
        <v>0</v>
      </c>
      <c r="M350" s="95" t="str">
        <f t="shared" si="208"/>
        <v>0</v>
      </c>
      <c r="N350" s="95" t="str">
        <f t="shared" si="209"/>
        <v>0</v>
      </c>
      <c r="O350" s="95" t="str">
        <f t="shared" si="210"/>
        <v>0</v>
      </c>
      <c r="P350" s="95" t="str">
        <f t="shared" si="211"/>
        <v>0</v>
      </c>
      <c r="Q350" s="95">
        <f>IF(AND(G350=T$8,LEN(G350)&gt;1),1,0)</f>
        <v>0</v>
      </c>
      <c r="R350" s="97">
        <f>Singles!D$9</f>
        <v>7</v>
      </c>
      <c r="S350" s="95">
        <f>IF(AND(H350=H$8,LEN(H350)&gt;1,Q350=1),1,0)</f>
        <v>0</v>
      </c>
      <c r="T350" s="105">
        <f>SUM(Q362:Q377)</f>
        <v>0</v>
      </c>
      <c r="U350" s="97">
        <f>SUM(S362:S377)</f>
        <v>0</v>
      </c>
      <c r="V350" s="97">
        <f>VLOOKUP(7,X344:Y359,2,0)</f>
        <v>1</v>
      </c>
      <c r="X350" s="95">
        <f t="shared" si="212"/>
        <v>7</v>
      </c>
      <c r="Y350" s="95">
        <f t="shared" si="213"/>
        <v>1</v>
      </c>
      <c r="Z350" s="95">
        <f t="shared" si="214"/>
        <v>1</v>
      </c>
    </row>
    <row r="351" spans="1:26">
      <c r="A351" s="95">
        <v>8</v>
      </c>
      <c r="B351" s="95">
        <f>Singles!D120</f>
        <v>0</v>
      </c>
      <c r="C351" s="100" t="str">
        <f>IF(OR(LEFT(B351,LEN(B$9))=B$9,LEFT(B351,LEN(C$9))=C$9,LEN(B351)&lt;2),"","Wrong pick")</f>
        <v/>
      </c>
      <c r="D351" s="95">
        <f t="shared" ca="1" si="204"/>
        <v>0</v>
      </c>
      <c r="G351" s="95" t="str">
        <f>IF(B351=0,"",IF(LEFT(B351,LEN(B$9))=B$9,B$9,C$9))</f>
        <v/>
      </c>
      <c r="H351" s="95" t="str">
        <f t="shared" si="205"/>
        <v>0-0</v>
      </c>
      <c r="I351" s="95" t="str">
        <f ca="1">IF(AND(J351=Singles!$H$21,INDIRECT(ADDRESS(A351+1,6,1))=0,NOT(INDIRECT(ADDRESS(A351+1,5,1))="")),IF(D351=0,IF(H351=H369,"",G351&amp;" "&amp;H351&amp;" v "&amp;H369&amp;", "),G351&amp;" "&amp;H351&amp;" vs. "&amp;G369&amp;" "&amp;H369&amp;", "),"")</f>
        <v/>
      </c>
      <c r="J351" s="97">
        <f>Singles!H$10</f>
        <v>1</v>
      </c>
      <c r="K351" s="95" t="str">
        <f t="shared" si="206"/>
        <v>SR</v>
      </c>
      <c r="L351" s="95" t="str">
        <f t="shared" si="207"/>
        <v>0</v>
      </c>
      <c r="M351" s="95" t="str">
        <f t="shared" si="208"/>
        <v>0</v>
      </c>
      <c r="N351" s="95" t="str">
        <f t="shared" si="209"/>
        <v>0</v>
      </c>
      <c r="O351" s="95" t="str">
        <f t="shared" si="210"/>
        <v>0</v>
      </c>
      <c r="P351" s="95" t="str">
        <f t="shared" si="211"/>
        <v>0</v>
      </c>
      <c r="Q351" s="95">
        <f>IF(AND(G351=T$9,LEN(G351)&gt;1),1,0)</f>
        <v>0</v>
      </c>
      <c r="R351" s="97">
        <f>Singles!D$10</f>
        <v>8</v>
      </c>
      <c r="S351" s="95">
        <f>IF(AND(H351=H$9,LEN(H351)&gt;1,Q351=1),1,0)</f>
        <v>0</v>
      </c>
      <c r="V351" s="97">
        <f>VLOOKUP(8,X344:Y359,2,0)</f>
        <v>1</v>
      </c>
      <c r="X351" s="95">
        <f t="shared" si="212"/>
        <v>8</v>
      </c>
      <c r="Y351" s="95">
        <f t="shared" si="213"/>
        <v>1</v>
      </c>
      <c r="Z351" s="95">
        <f t="shared" si="214"/>
        <v>1</v>
      </c>
    </row>
    <row r="352" spans="1:26">
      <c r="A352" s="95">
        <v>9</v>
      </c>
      <c r="B352" s="95">
        <f>Singles!D121</f>
        <v>0</v>
      </c>
      <c r="C352" s="100" t="str">
        <f>IF(OR(LEFT(B352,LEN(B$10))=B$10,LEFT(B352,LEN(C$10))=C$10,LEN(B352)&lt;2),"","Wrong pick")</f>
        <v/>
      </c>
      <c r="D352" s="95">
        <f t="shared" ca="1" si="204"/>
        <v>0</v>
      </c>
      <c r="G352" s="95" t="str">
        <f>IF(B352=0,"",IF(LEFT(B352,LEN(B$10))=B$10,B$10,C$10))</f>
        <v/>
      </c>
      <c r="H352" s="95" t="str">
        <f t="shared" si="205"/>
        <v>0-0</v>
      </c>
      <c r="I352" s="95" t="str">
        <f ca="1">IF(AND(J352=Singles!$H$21,INDIRECT(ADDRESS(A352+1,6,1))=0,NOT(INDIRECT(ADDRESS(A352+1,5,1))="")),IF(D352=0,IF(H352=H370,"",G352&amp;" "&amp;H352&amp;" v "&amp;H370&amp;", "),G352&amp;" "&amp;H352&amp;" vs. "&amp;G370&amp;" "&amp;H370&amp;", "),"")</f>
        <v/>
      </c>
      <c r="J352" s="97">
        <f>Singles!H$11</f>
        <v>1</v>
      </c>
      <c r="K352" s="95" t="str">
        <f t="shared" si="206"/>
        <v>SR</v>
      </c>
      <c r="L352" s="95" t="str">
        <f t="shared" si="207"/>
        <v>0</v>
      </c>
      <c r="M352" s="95" t="str">
        <f t="shared" si="208"/>
        <v>0</v>
      </c>
      <c r="N352" s="95" t="str">
        <f t="shared" si="209"/>
        <v>0</v>
      </c>
      <c r="O352" s="95" t="str">
        <f t="shared" si="210"/>
        <v>0</v>
      </c>
      <c r="P352" s="95" t="str">
        <f t="shared" si="211"/>
        <v>0</v>
      </c>
      <c r="Q352" s="95">
        <f>IF(AND(G352=T$10,LEN(G352)&gt;1),1,0)</f>
        <v>0</v>
      </c>
      <c r="R352" s="97">
        <f>Singles!D$11</f>
        <v>9</v>
      </c>
      <c r="S352" s="95">
        <f>IF(AND(H352=H$10,LEN(H352)&gt;1,Q352=1),1,0)</f>
        <v>0</v>
      </c>
      <c r="T352" s="95" t="str">
        <f>VLOOKUP("Winner",T362:U378,2,0)</f>
        <v>Tied; see PTS</v>
      </c>
      <c r="U352" s="95">
        <f>VLOOKUP(T352,U362:W378,3,0)</f>
        <v>17</v>
      </c>
      <c r="V352" s="97">
        <f>VLOOKUP(9,X344:Y359,2,0)</f>
        <v>1</v>
      </c>
      <c r="X352" s="95">
        <f t="shared" si="212"/>
        <v>9</v>
      </c>
      <c r="Y352" s="95">
        <f t="shared" si="213"/>
        <v>1</v>
      </c>
      <c r="Z352" s="95">
        <f t="shared" si="214"/>
        <v>1</v>
      </c>
    </row>
    <row r="353" spans="1:26">
      <c r="A353" s="95">
        <v>10</v>
      </c>
      <c r="B353" s="95">
        <f>Singles!D122</f>
        <v>0</v>
      </c>
      <c r="C353" s="100" t="str">
        <f>IF(OR(LEFT(B353,LEN(B$11))=B$11,LEFT(B353,LEN(C$11))=C$11,LEN(B353)&lt;2),"","Wrong pick")</f>
        <v/>
      </c>
      <c r="D353" s="95">
        <f t="shared" ca="1" si="204"/>
        <v>0</v>
      </c>
      <c r="G353" s="95" t="str">
        <f>IF(B353=0,"",IF(LEFT(B353,LEN(B$11))=B$11,B$11,C$11))</f>
        <v/>
      </c>
      <c r="H353" s="95" t="str">
        <f t="shared" si="205"/>
        <v>0-0</v>
      </c>
      <c r="I353" s="95" t="str">
        <f ca="1">IF(AND(J353=Singles!$H$21,INDIRECT(ADDRESS(A353+1,6,1))=0,NOT(INDIRECT(ADDRESS(A353+1,5,1))="")),IF(D353=0,IF(H353=H371,"",G353&amp;" "&amp;H353&amp;" v "&amp;H371&amp;", "),G353&amp;" "&amp;H353&amp;" vs. "&amp;G371&amp;" "&amp;H371&amp;", "),"")</f>
        <v/>
      </c>
      <c r="J353" s="97">
        <f>Singles!H$12</f>
        <v>1</v>
      </c>
      <c r="K353" s="95" t="str">
        <f t="shared" si="206"/>
        <v>SR</v>
      </c>
      <c r="L353" s="95" t="str">
        <f t="shared" si="207"/>
        <v>0</v>
      </c>
      <c r="M353" s="95" t="str">
        <f t="shared" si="208"/>
        <v>0</v>
      </c>
      <c r="N353" s="95" t="str">
        <f t="shared" si="209"/>
        <v>0</v>
      </c>
      <c r="O353" s="95" t="str">
        <f t="shared" si="210"/>
        <v>0</v>
      </c>
      <c r="P353" s="95" t="str">
        <f t="shared" si="211"/>
        <v>0</v>
      </c>
      <c r="Q353" s="95">
        <f>IF(AND(G353=T$11,LEN(G353)&gt;1),1,0)</f>
        <v>0</v>
      </c>
      <c r="R353" s="97">
        <f>Singles!D$12</f>
        <v>10</v>
      </c>
      <c r="S353" s="95">
        <f>IF(AND(H353=H$11,LEN(H353)&gt;1,Q353=1),1,0)</f>
        <v>0</v>
      </c>
      <c r="V353" s="97">
        <f>VLOOKUP(10,X344:Y359,2,0)</f>
        <v>1</v>
      </c>
      <c r="X353" s="95">
        <f t="shared" si="212"/>
        <v>10</v>
      </c>
      <c r="Y353" s="95">
        <f t="shared" si="213"/>
        <v>1</v>
      </c>
      <c r="Z353" s="95">
        <f t="shared" si="214"/>
        <v>1</v>
      </c>
    </row>
    <row r="354" spans="1:26">
      <c r="A354" s="95">
        <v>11</v>
      </c>
      <c r="B354" s="95">
        <f>Singles!D123</f>
        <v>0</v>
      </c>
      <c r="C354" s="100" t="str">
        <f>IF(OR(LEFT(B354,LEN(B$12))=B$12,LEFT(B354,LEN(C$12))=C$12,LEN(B354)&lt;2),"","Wrong pick")</f>
        <v/>
      </c>
      <c r="D354" s="95">
        <f t="shared" ca="1" si="204"/>
        <v>0</v>
      </c>
      <c r="G354" s="95" t="str">
        <f>IF(B354=0,"",IF(LEFT(B354,LEN(B$12))=B$12,B$12,C$12))</f>
        <v/>
      </c>
      <c r="H354" s="95" t="str">
        <f t="shared" si="205"/>
        <v>0-0</v>
      </c>
      <c r="I354" s="95" t="str">
        <f ca="1">IF(AND(J354=Singles!$H$21,INDIRECT(ADDRESS(A354+1,6,1))=0,NOT(INDIRECT(ADDRESS(A354+1,5,1))="")),IF(D354=0,IF(H354=H372,"",G354&amp;" "&amp;H354&amp;" v "&amp;H372&amp;", "),G354&amp;" "&amp;H354&amp;" vs. "&amp;G372&amp;" "&amp;H372&amp;", "),"")</f>
        <v/>
      </c>
      <c r="J354" s="97">
        <f>Singles!H$13</f>
        <v>1</v>
      </c>
      <c r="K354" s="95" t="str">
        <f t="shared" si="206"/>
        <v>SR</v>
      </c>
      <c r="L354" s="95" t="str">
        <f t="shared" si="207"/>
        <v>0</v>
      </c>
      <c r="M354" s="95" t="str">
        <f t="shared" si="208"/>
        <v>0</v>
      </c>
      <c r="N354" s="95" t="str">
        <f t="shared" si="209"/>
        <v>0</v>
      </c>
      <c r="O354" s="95" t="str">
        <f t="shared" si="210"/>
        <v>0</v>
      </c>
      <c r="P354" s="95" t="str">
        <f t="shared" si="211"/>
        <v>0</v>
      </c>
      <c r="Q354" s="95">
        <f>IF(AND(G354=T$12,LEN(G354)&gt;1),1,0)</f>
        <v>0</v>
      </c>
      <c r="R354" s="97">
        <f>Singles!D$13</f>
        <v>11</v>
      </c>
      <c r="S354" s="95">
        <f>IF(AND(H354=H$12,LEN(H354)&gt;1,Q354=1),1,0)</f>
        <v>0</v>
      </c>
      <c r="V354" s="97">
        <f>VLOOKUP(11,X344:Y359,2,0)</f>
        <v>1</v>
      </c>
      <c r="X354" s="95">
        <f t="shared" si="212"/>
        <v>11</v>
      </c>
      <c r="Y354" s="95">
        <f t="shared" si="213"/>
        <v>1</v>
      </c>
      <c r="Z354" s="95">
        <f t="shared" si="214"/>
        <v>1</v>
      </c>
    </row>
    <row r="355" spans="1:26">
      <c r="A355" s="95">
        <v>12</v>
      </c>
      <c r="B355" s="95">
        <f>Singles!D124</f>
        <v>0</v>
      </c>
      <c r="C355" s="100" t="str">
        <f>IF(OR(LEFT(B355,LEN(B$13))=B$13,LEFT(B355,LEN(C$13))=C$13,LEN(B355)&lt;2),"","Wrong pick")</f>
        <v/>
      </c>
      <c r="D355" s="95">
        <f t="shared" ca="1" si="204"/>
        <v>0</v>
      </c>
      <c r="G355" s="95" t="str">
        <f>IF(B355=0,"",IF(LEFT(B355,LEN(B$13))=B$13,B$13,C$13))</f>
        <v/>
      </c>
      <c r="H355" s="95" t="str">
        <f t="shared" si="205"/>
        <v>0-0</v>
      </c>
      <c r="I355" s="95" t="str">
        <f ca="1">IF(AND(J355=Singles!$H$21,INDIRECT(ADDRESS(A355+1,6,1))=0,NOT(INDIRECT(ADDRESS(A355+1,5,1))="")),IF(D355=0,IF(H355=H373,"",G355&amp;" "&amp;H355&amp;" v "&amp;H373&amp;", "),G355&amp;" "&amp;H355&amp;" vs. "&amp;G373&amp;" "&amp;H373&amp;", "),"")</f>
        <v/>
      </c>
      <c r="J355" s="97">
        <f>Singles!H$14</f>
        <v>1</v>
      </c>
      <c r="K355" s="95" t="str">
        <f t="shared" si="206"/>
        <v>SR</v>
      </c>
      <c r="L355" s="95" t="str">
        <f t="shared" si="207"/>
        <v>0</v>
      </c>
      <c r="M355" s="95" t="str">
        <f t="shared" si="208"/>
        <v>0</v>
      </c>
      <c r="N355" s="95" t="str">
        <f t="shared" si="209"/>
        <v>0</v>
      </c>
      <c r="O355" s="95" t="str">
        <f t="shared" si="210"/>
        <v>0</v>
      </c>
      <c r="P355" s="95" t="str">
        <f t="shared" si="211"/>
        <v>0</v>
      </c>
      <c r="Q355" s="95">
        <f>IF(AND(G355=T$13,LEN(G355)&gt;1),1,0)</f>
        <v>0</v>
      </c>
      <c r="R355" s="97">
        <f>Singles!D$14</f>
        <v>12</v>
      </c>
      <c r="S355" s="95">
        <f>IF(AND(H355=H$13,LEN(H355)&gt;1,Q355=1),1,0)</f>
        <v>0</v>
      </c>
      <c r="V355" s="97">
        <f>VLOOKUP(12,X344:Y359,2,0)</f>
        <v>1</v>
      </c>
      <c r="X355" s="95">
        <f t="shared" si="212"/>
        <v>12</v>
      </c>
      <c r="Y355" s="95">
        <f t="shared" si="213"/>
        <v>1</v>
      </c>
      <c r="Z355" s="95">
        <f t="shared" si="214"/>
        <v>1</v>
      </c>
    </row>
    <row r="356" spans="1:26">
      <c r="A356" s="95">
        <v>13</v>
      </c>
      <c r="B356" s="95">
        <f>Singles!D125</f>
        <v>0</v>
      </c>
      <c r="C356" s="100" t="str">
        <f>IF(OR(LEFT(B356,LEN(B$14))=B$14,LEFT(B356,LEN(C$14))=C$14,LEN(B356)&lt;2),"","Wrong pick")</f>
        <v/>
      </c>
      <c r="D356" s="95">
        <f t="shared" ca="1" si="204"/>
        <v>0</v>
      </c>
      <c r="G356" s="95" t="str">
        <f>IF(B356=0,"",IF(LEFT(B356,LEN(B$14))=B$14,B$14,C$14))</f>
        <v/>
      </c>
      <c r="H356" s="95" t="str">
        <f t="shared" si="205"/>
        <v>0-0</v>
      </c>
      <c r="I356" s="95" t="str">
        <f ca="1">IF(AND(J356=Singles!$H$21,INDIRECT(ADDRESS(A356+1,6,1))=0,NOT(INDIRECT(ADDRESS(A356+1,5,1))="")),IF(D356=0,IF(H356=H374,"",G356&amp;" "&amp;H356&amp;" v "&amp;H374&amp;", "),G356&amp;" "&amp;H356&amp;" vs. "&amp;G374&amp;" "&amp;H374&amp;", "),"")</f>
        <v/>
      </c>
      <c r="J356" s="97">
        <f>Singles!H$15</f>
        <v>1</v>
      </c>
      <c r="K356" s="95" t="str">
        <f t="shared" si="206"/>
        <v>SR</v>
      </c>
      <c r="L356" s="95" t="str">
        <f t="shared" si="207"/>
        <v>0</v>
      </c>
      <c r="M356" s="95" t="str">
        <f t="shared" si="208"/>
        <v>0</v>
      </c>
      <c r="N356" s="95" t="str">
        <f t="shared" si="209"/>
        <v>0</v>
      </c>
      <c r="O356" s="95" t="str">
        <f t="shared" si="210"/>
        <v>0</v>
      </c>
      <c r="P356" s="95" t="str">
        <f t="shared" si="211"/>
        <v>0</v>
      </c>
      <c r="Q356" s="95">
        <f>IF(AND(G356=T$14,LEN(G356)&gt;1),1,0)</f>
        <v>0</v>
      </c>
      <c r="R356" s="97">
        <f>Singles!D$15</f>
        <v>13</v>
      </c>
      <c r="S356" s="95">
        <f>IF(AND(H356=H$14,LEN(H356)&gt;1,Q356=1),1,0)</f>
        <v>0</v>
      </c>
      <c r="V356" s="97">
        <f>VLOOKUP(13,X344:Y359,2,0)</f>
        <v>1</v>
      </c>
      <c r="X356" s="95">
        <f t="shared" si="212"/>
        <v>13</v>
      </c>
      <c r="Y356" s="95">
        <f t="shared" si="213"/>
        <v>1</v>
      </c>
      <c r="Z356" s="95">
        <f t="shared" si="214"/>
        <v>1</v>
      </c>
    </row>
    <row r="357" spans="1:26">
      <c r="A357" s="95">
        <v>14</v>
      </c>
      <c r="B357" s="95">
        <f>Singles!D126</f>
        <v>0</v>
      </c>
      <c r="C357" s="100" t="str">
        <f>IF(OR(LEFT(B357,LEN(B$15))=B$15,LEFT(B357,LEN(C$15))=C$15,LEN(B357)&lt;2),"","Wrong pick")</f>
        <v/>
      </c>
      <c r="D357" s="95">
        <f t="shared" ca="1" si="204"/>
        <v>0</v>
      </c>
      <c r="G357" s="95" t="str">
        <f>IF(B357=0,"",IF(LEFT(B357,LEN(B$15))=B$15,B$15,C$15))</f>
        <v/>
      </c>
      <c r="H357" s="95" t="str">
        <f t="shared" si="205"/>
        <v>0-0</v>
      </c>
      <c r="I357" s="95" t="str">
        <f ca="1">IF(AND(J357=Singles!$H$21,INDIRECT(ADDRESS(A357+1,6,1))=0,NOT(INDIRECT(ADDRESS(A357+1,5,1))="")),IF(D357=0,IF(H357=H375,"",G357&amp;" "&amp;H357&amp;" v "&amp;H375&amp;", "),G357&amp;" "&amp;H357&amp;" vs. "&amp;G375&amp;" "&amp;H375&amp;", "),"")</f>
        <v/>
      </c>
      <c r="J357" s="97">
        <f>Singles!H$16</f>
        <v>1</v>
      </c>
      <c r="K357" s="95" t="str">
        <f t="shared" si="206"/>
        <v>SR</v>
      </c>
      <c r="L357" s="95" t="str">
        <f t="shared" si="207"/>
        <v>0</v>
      </c>
      <c r="M357" s="95" t="str">
        <f t="shared" si="208"/>
        <v>0</v>
      </c>
      <c r="N357" s="95" t="str">
        <f t="shared" si="209"/>
        <v>0</v>
      </c>
      <c r="O357" s="95" t="str">
        <f t="shared" si="210"/>
        <v>0</v>
      </c>
      <c r="P357" s="95" t="str">
        <f t="shared" si="211"/>
        <v>0</v>
      </c>
      <c r="Q357" s="95">
        <f>IF(AND(G357=T$15,LEN(G357)&gt;1),1,0)</f>
        <v>0</v>
      </c>
      <c r="R357" s="97">
        <f>Singles!D$16</f>
        <v>14</v>
      </c>
      <c r="S357" s="95">
        <f>IF(AND(H357=H$15,LEN(H357)&gt;1,Q357=1),1,0)</f>
        <v>0</v>
      </c>
      <c r="V357" s="97">
        <f>VLOOKUP(14,X344:Y359,2,0)</f>
        <v>1</v>
      </c>
      <c r="X357" s="95">
        <f t="shared" si="212"/>
        <v>14</v>
      </c>
      <c r="Y357" s="95">
        <f t="shared" si="213"/>
        <v>1</v>
      </c>
      <c r="Z357" s="95">
        <f t="shared" si="214"/>
        <v>1</v>
      </c>
    </row>
    <row r="358" spans="1:26">
      <c r="A358" s="95">
        <v>15</v>
      </c>
      <c r="B358" s="95">
        <f>Singles!D127</f>
        <v>0</v>
      </c>
      <c r="C358" s="100" t="str">
        <f>IF(OR(LEFT(B358,LEN(B$16))=B$16,LEFT(B358,LEN(C$16))=C$16,LEN(B358)&lt;2),"","Wrong pick")</f>
        <v/>
      </c>
      <c r="D358" s="95">
        <f t="shared" ca="1" si="204"/>
        <v>0</v>
      </c>
      <c r="G358" s="95" t="str">
        <f>IF(B358=0,"",IF(LEFT(B358,LEN(B$16))=B$16,B$16,C$16))</f>
        <v/>
      </c>
      <c r="H358" s="95" t="str">
        <f t="shared" si="205"/>
        <v>0-0</v>
      </c>
      <c r="I358" s="95" t="str">
        <f ca="1">IF(AND(J358=Singles!$H$21,INDIRECT(ADDRESS(A358+1,6,1))=0,NOT(INDIRECT(ADDRESS(A358+1,5,1))="")),IF(D358=0,IF(H358=H376,"",G358&amp;" "&amp;H358&amp;" v "&amp;H376&amp;", "),G358&amp;" "&amp;H358&amp;" vs. "&amp;G376&amp;" "&amp;H376&amp;", "),"")</f>
        <v/>
      </c>
      <c r="J358" s="97">
        <f>Singles!H$17</f>
        <v>1</v>
      </c>
      <c r="K358" s="95" t="str">
        <f t="shared" si="206"/>
        <v>SR</v>
      </c>
      <c r="L358" s="95" t="str">
        <f t="shared" si="207"/>
        <v>0</v>
      </c>
      <c r="M358" s="95" t="str">
        <f t="shared" si="208"/>
        <v>0</v>
      </c>
      <c r="N358" s="95" t="str">
        <f t="shared" si="209"/>
        <v>0</v>
      </c>
      <c r="O358" s="95" t="str">
        <f t="shared" si="210"/>
        <v>0</v>
      </c>
      <c r="P358" s="95" t="str">
        <f t="shared" si="211"/>
        <v>0</v>
      </c>
      <c r="Q358" s="95">
        <f>IF(AND(G358=T$16,LEN(G358)&gt;1),1,0)</f>
        <v>0</v>
      </c>
      <c r="R358" s="97">
        <f>Singles!D$17</f>
        <v>15</v>
      </c>
      <c r="S358" s="95">
        <f>IF(AND(H358=H$16,LEN(H358)&gt;1,Q358=1),1,0)</f>
        <v>0</v>
      </c>
      <c r="V358" s="97">
        <f>VLOOKUP(15,X344:Y359,2,0)</f>
        <v>1</v>
      </c>
      <c r="X358" s="95">
        <f t="shared" si="212"/>
        <v>15</v>
      </c>
      <c r="Y358" s="95">
        <f t="shared" si="213"/>
        <v>1</v>
      </c>
      <c r="Z358" s="95">
        <f t="shared" si="214"/>
        <v>1</v>
      </c>
    </row>
    <row r="359" spans="1:26">
      <c r="A359" s="95">
        <v>16</v>
      </c>
      <c r="B359" s="95">
        <f>Singles!D128</f>
        <v>0</v>
      </c>
      <c r="C359" s="100" t="str">
        <f>IF(OR(LEFT(B359,LEN(B$17))=B$17,LEFT(B359,LEN(C$17))=C$17,LEN(B359)&lt;2),"","Wrong pick")</f>
        <v/>
      </c>
      <c r="D359" s="95">
        <f t="shared" ca="1" si="204"/>
        <v>0</v>
      </c>
      <c r="G359" s="95" t="str">
        <f>IF(B359=0,"",IF(LEFT(B359,LEN(B$17))=B$17,B$17,C$17))</f>
        <v/>
      </c>
      <c r="H359" s="95" t="str">
        <f t="shared" si="205"/>
        <v>0-0</v>
      </c>
      <c r="I359" s="95" t="str">
        <f ca="1">IF(AND(J359=Singles!$H$21,INDIRECT(ADDRESS(A359+1,6,1))=0,NOT(INDIRECT(ADDRESS(A359+1,5,1))="")),IF(D359=0,IF(H359=H377,"",G359&amp;" "&amp;H359&amp;" v "&amp;H377&amp;", "),G359&amp;" "&amp;H359&amp;" vs. "&amp;G377&amp;" "&amp;H377&amp;", "),"")</f>
        <v/>
      </c>
      <c r="J359" s="97">
        <f>Singles!H$18</f>
        <v>1</v>
      </c>
      <c r="K359" s="95" t="str">
        <f t="shared" si="206"/>
        <v>SR</v>
      </c>
      <c r="L359" s="95" t="str">
        <f t="shared" si="207"/>
        <v>0</v>
      </c>
      <c r="M359" s="95" t="str">
        <f t="shared" si="208"/>
        <v>0</v>
      </c>
      <c r="N359" s="95" t="str">
        <f t="shared" si="209"/>
        <v>0</v>
      </c>
      <c r="O359" s="95" t="str">
        <f t="shared" si="210"/>
        <v>0</v>
      </c>
      <c r="P359" s="95" t="str">
        <f t="shared" si="211"/>
        <v>0</v>
      </c>
      <c r="Q359" s="95">
        <f>IF(AND(G359=T$17,LEN(G359)&gt;1),1,0)</f>
        <v>0</v>
      </c>
      <c r="R359" s="97">
        <f>Singles!D$18</f>
        <v>16</v>
      </c>
      <c r="S359" s="95">
        <f>IF(AND(H359=H$17,LEN(H359)&gt;1,Q359=1),1,0)</f>
        <v>0</v>
      </c>
      <c r="V359" s="97">
        <f>VLOOKUP(16,X344:Y359,2,0)</f>
        <v>1</v>
      </c>
      <c r="X359" s="95">
        <f t="shared" si="212"/>
        <v>16</v>
      </c>
      <c r="Y359" s="95">
        <f t="shared" si="213"/>
        <v>1</v>
      </c>
      <c r="Z359" s="95">
        <f t="shared" si="214"/>
        <v>1</v>
      </c>
    </row>
    <row r="361" spans="1:26">
      <c r="A361" s="95" t="e">
        <f>IF(LEN(VLOOKUP(B361,Singles!$A$2:$B$33,2,0))&gt;0,VLOOKUP(B361,Singles!$A$2:$B$33,2,0),"")</f>
        <v>#N/A</v>
      </c>
      <c r="B361" s="96">
        <f>Singles!E112</f>
        <v>0</v>
      </c>
      <c r="C361" s="96">
        <v>20</v>
      </c>
      <c r="D361" s="95" t="e">
        <f>VLOOKUP(B361,Singles!$A$2:$C$33,3,0)</f>
        <v>#N/A</v>
      </c>
      <c r="J361" s="95" t="s">
        <v>88</v>
      </c>
      <c r="Q361" s="95" t="s">
        <v>121</v>
      </c>
      <c r="S361" s="95" t="s">
        <v>122</v>
      </c>
      <c r="T361" s="95" t="e">
        <f>IF(LEN(A361)&gt;0,"("&amp;A361&amp;") "&amp;B361,B361)&amp;IF(LEN(D361)&gt;1," ("&amp;D361&amp;")","")</f>
        <v>#N/A</v>
      </c>
      <c r="V361" s="95" t="s">
        <v>123</v>
      </c>
      <c r="Y361" s="95" t="s">
        <v>123</v>
      </c>
    </row>
    <row r="362" spans="1:26">
      <c r="A362" s="95">
        <v>1</v>
      </c>
      <c r="B362" s="95">
        <f>Singles!E113</f>
        <v>0</v>
      </c>
      <c r="C362" s="99" t="str">
        <f>IF(OR(LEFT(B362,LEN(B$2))=B$2,LEFT(B362,LEN(C$2))=C$2,LEN(B362)&lt;2),"","Wrong pick")</f>
        <v/>
      </c>
      <c r="E362" s="95" t="str">
        <f ca="1">IF(AND(D344=1,J362=$I$2),G362&amp;", ","")&amp;IF(AND(D345=1,J363=$I$2),G363&amp;", ","")&amp;IF(AND(D346=1,J364=$I$2),G364&amp;", ","")&amp;IF(AND(D347=1,J365=$I$2),G365&amp;", ","")&amp;IF(AND(D348=1,J366=$I$2),G366&amp;", ","")&amp;IF(AND(D349=1,J367=$I$2),G367&amp;", ","")&amp;IF(AND(D350=1,J368=$I$2),G368&amp;", ","")&amp;IF(AND(D351=1,J369=$I$2),G369&amp;", ","")&amp;IF(AND(D352=1,J370=$I$2),G370&amp;", ","")&amp;IF(AND(D353=1,J371=$I$2),G371&amp;", ","")&amp;IF(AND(D354=1,J372=$I$2),G372&amp;", ","")&amp;IF(AND(D355=1,J373=$I$2),G373&amp;", ","")&amp;IF(AND(D356=1,J374=$I$2),G374&amp;", ","")&amp;IF(AND(D357=1,J375=$I$2),G375&amp;", ","")&amp;IF(AND(D358=1,J376=$I$2),G376&amp;", ","")&amp;IF(AND(D359=1,J377=$I$2),G377&amp;", ","")</f>
        <v/>
      </c>
      <c r="F362" s="95" t="str">
        <f>IF(AND(SUM(Z362:Z377)=$I$4,NOT(B361="Bye")),"Missing picks from "&amp;B361&amp;" ","")</f>
        <v xml:space="preserve">Missing picks from 0 </v>
      </c>
      <c r="G362" s="95" t="str">
        <f>IF(B362=0,"",IF(LEFT(B362,LEN(B$2))=B$2,B$2,C$2))</f>
        <v/>
      </c>
      <c r="H362" s="95" t="str">
        <f t="shared" ref="H362:H377" si="215">IF(L362="","",IF(K362="PTS",IF(LEN(O362)&lt;8,"2-0","2-1"),LEFT(O362,1)&amp;"-"&amp;RIGHT(O362,1)))</f>
        <v>0-0</v>
      </c>
      <c r="J362" s="97">
        <f>Singles!H$3</f>
        <v>1</v>
      </c>
      <c r="K362" s="95" t="str">
        <f t="shared" ref="K362:K377" si="216">IF(LEN(L362)&gt;0,IF(LEN(O362)&lt;4,"SR","PTS"),"")</f>
        <v>SR</v>
      </c>
      <c r="L362" s="95" t="str">
        <f t="shared" ref="L362:L377" si="217">TRIM(RIGHT(B362,LEN(B362)-LEN(G362)))</f>
        <v>0</v>
      </c>
      <c r="M362" s="95" t="str">
        <f t="shared" ref="M362:M377" si="218">SUBSTITUTE(L362,"-","")</f>
        <v>0</v>
      </c>
      <c r="N362" s="95" t="str">
        <f t="shared" ref="N362:N377" si="219">SUBSTITUTE(M362,","," ")</f>
        <v>0</v>
      </c>
      <c r="O362" s="95" t="str">
        <f t="shared" ref="O362:O377" si="220">IF(AND(LEN(TRIM(SUBSTITUTE(P362,"/","")))&gt;6,OR(LEFT(TRIM(SUBSTITUTE(P362,"/","")),2)="20",LEFT(TRIM(SUBSTITUTE(P362,"/","")),2)="21")),RIGHT(TRIM(SUBSTITUTE(P362,"/","")),LEN(TRIM(SUBSTITUTE(P362,"/","")))-3),TRIM(SUBSTITUTE(P362,"/","")))</f>
        <v>0</v>
      </c>
      <c r="P362" s="95" t="str">
        <f t="shared" ref="P362:P377" si="221">SUBSTITUTE(N362,":","")</f>
        <v>0</v>
      </c>
      <c r="Q362" s="95">
        <f>IF(AND(G362=T$2,LEN(G362)&gt;1),1,0)</f>
        <v>0</v>
      </c>
      <c r="R362" s="97">
        <f>Singles!D$3</f>
        <v>1</v>
      </c>
      <c r="S362" s="95">
        <f>IF(AND(H362=H$2,LEN(H362)&gt;1,Q362=1),1,0)</f>
        <v>0</v>
      </c>
      <c r="T362" s="95" t="str">
        <f t="shared" ref="T362:T377" si="222">IF(V344=V362,"No","Winner")</f>
        <v>No</v>
      </c>
      <c r="U362" s="95" t="str">
        <f>IF(T362="Winner",IF(V362&gt;V344,B361,B343),"")</f>
        <v/>
      </c>
      <c r="V362" s="97">
        <f>VLOOKUP(1,X362:Y377,2,0)</f>
        <v>1</v>
      </c>
      <c r="W362" s="95">
        <v>1</v>
      </c>
      <c r="X362" s="95">
        <f t="shared" ref="X362:X377" si="223">R362</f>
        <v>1</v>
      </c>
      <c r="Y362" s="95">
        <f t="shared" ref="Y362:Y377" si="224">IF(Q362=1,IF(S362=1,4,3),IF(H362="2-1",2,1))</f>
        <v>1</v>
      </c>
      <c r="Z362" s="95">
        <f t="shared" ref="Z362:Z377" si="225">IF(AND($I$2=J362,B362=0),1,0)</f>
        <v>1</v>
      </c>
    </row>
    <row r="363" spans="1:26">
      <c r="A363" s="95">
        <v>2</v>
      </c>
      <c r="B363" s="95">
        <f>Singles!E114</f>
        <v>0</v>
      </c>
      <c r="C363" s="100" t="str">
        <f>IF(OR(LEFT(B363,LEN(B$3))=B$3,LEFT(B363,LEN(C$3))=C$3,LEN(B363)&lt;2),"","Wrong pick")</f>
        <v/>
      </c>
      <c r="G363" s="95" t="str">
        <f>IF(B363=0,"",IF(LEFT(B363,LEN(B$3))=B$3,B$3,C$3))</f>
        <v/>
      </c>
      <c r="H363" s="95" t="str">
        <f t="shared" si="215"/>
        <v>0-0</v>
      </c>
      <c r="J363" s="97">
        <f>Singles!H$4</f>
        <v>1</v>
      </c>
      <c r="K363" s="95" t="str">
        <f t="shared" si="216"/>
        <v>SR</v>
      </c>
      <c r="L363" s="95" t="str">
        <f t="shared" si="217"/>
        <v>0</v>
      </c>
      <c r="M363" s="95" t="str">
        <f t="shared" si="218"/>
        <v>0</v>
      </c>
      <c r="N363" s="95" t="str">
        <f t="shared" si="219"/>
        <v>0</v>
      </c>
      <c r="O363" s="95" t="str">
        <f t="shared" si="220"/>
        <v>0</v>
      </c>
      <c r="P363" s="95" t="str">
        <f t="shared" si="221"/>
        <v>0</v>
      </c>
      <c r="Q363" s="95">
        <f>IF(AND(G363=T$3,LEN(G363)&gt;1),1,0)</f>
        <v>0</v>
      </c>
      <c r="R363" s="97">
        <f>Singles!D$4</f>
        <v>2</v>
      </c>
      <c r="S363" s="95">
        <f>IF(AND(H363=H$3,LEN(H363)&gt;1,Q363=1),1,0)</f>
        <v>0</v>
      </c>
      <c r="T363" s="95" t="str">
        <f t="shared" si="222"/>
        <v>No</v>
      </c>
      <c r="U363" s="95" t="str">
        <f>IF(T363="Winner",IF(V363&gt;V345,B361,B343),"")</f>
        <v/>
      </c>
      <c r="V363" s="97">
        <f>VLOOKUP(2,X362:Y377,2,0)</f>
        <v>1</v>
      </c>
      <c r="W363" s="95">
        <v>2</v>
      </c>
      <c r="X363" s="95">
        <f t="shared" si="223"/>
        <v>2</v>
      </c>
      <c r="Y363" s="95">
        <f t="shared" si="224"/>
        <v>1</v>
      </c>
      <c r="Z363" s="95">
        <f t="shared" si="225"/>
        <v>1</v>
      </c>
    </row>
    <row r="364" spans="1:26">
      <c r="A364" s="95">
        <v>3</v>
      </c>
      <c r="B364" s="95">
        <f>Singles!E115</f>
        <v>0</v>
      </c>
      <c r="C364" s="100" t="str">
        <f>IF(OR(LEFT(B364,LEN(B$4))=B$4,LEFT(B364,LEN(C$4))=C$4,LEN(B364)&lt;2),"","Wrong pick")</f>
        <v/>
      </c>
      <c r="G364" s="95" t="str">
        <f>IF(B364=0,"",IF(LEFT(B364,LEN(B$4))=B$4,B$4,C$4))</f>
        <v/>
      </c>
      <c r="H364" s="95" t="str">
        <f t="shared" si="215"/>
        <v>0-0</v>
      </c>
      <c r="J364" s="97">
        <f>Singles!H$5</f>
        <v>1</v>
      </c>
      <c r="K364" s="95" t="str">
        <f t="shared" si="216"/>
        <v>SR</v>
      </c>
      <c r="L364" s="95" t="str">
        <f t="shared" si="217"/>
        <v>0</v>
      </c>
      <c r="M364" s="95" t="str">
        <f t="shared" si="218"/>
        <v>0</v>
      </c>
      <c r="N364" s="95" t="str">
        <f t="shared" si="219"/>
        <v>0</v>
      </c>
      <c r="O364" s="95" t="str">
        <f t="shared" si="220"/>
        <v>0</v>
      </c>
      <c r="P364" s="95" t="str">
        <f t="shared" si="221"/>
        <v>0</v>
      </c>
      <c r="Q364" s="95">
        <f>IF(AND(G364=T$4,LEN(G364)&gt;1),1,0)</f>
        <v>0</v>
      </c>
      <c r="R364" s="97">
        <f>Singles!D$5</f>
        <v>3</v>
      </c>
      <c r="S364" s="95">
        <f>IF(AND(H364=H$4,LEN(H364)&gt;1,Q364=1),1,0)</f>
        <v>0</v>
      </c>
      <c r="T364" s="95" t="str">
        <f t="shared" si="222"/>
        <v>No</v>
      </c>
      <c r="U364" s="95" t="str">
        <f>IF(T364="Winner",IF(V364&gt;V346,B361,B343),"")</f>
        <v/>
      </c>
      <c r="V364" s="97">
        <f>VLOOKUP(3,X362:Y377,2,0)</f>
        <v>1</v>
      </c>
      <c r="W364" s="95">
        <v>3</v>
      </c>
      <c r="X364" s="95">
        <f t="shared" si="223"/>
        <v>3</v>
      </c>
      <c r="Y364" s="95">
        <f t="shared" si="224"/>
        <v>1</v>
      </c>
      <c r="Z364" s="95">
        <f t="shared" si="225"/>
        <v>1</v>
      </c>
    </row>
    <row r="365" spans="1:26">
      <c r="A365" s="95">
        <v>4</v>
      </c>
      <c r="B365" s="95">
        <f>Singles!E116</f>
        <v>0</v>
      </c>
      <c r="C365" s="100" t="str">
        <f>IF(OR(LEFT(B365,LEN(B$5))=B$5,LEFT(B365,LEN(C$5))=C$5,LEN(B365)&lt;2),"","Wrong pick")</f>
        <v/>
      </c>
      <c r="G365" s="95" t="str">
        <f>IF(B365=0,"",IF(LEFT(B365,LEN(B$5))=B$5,B$5,C$5))</f>
        <v/>
      </c>
      <c r="H365" s="95" t="str">
        <f t="shared" si="215"/>
        <v>0-0</v>
      </c>
      <c r="J365" s="97">
        <f>Singles!H$6</f>
        <v>1</v>
      </c>
      <c r="K365" s="95" t="str">
        <f t="shared" si="216"/>
        <v>SR</v>
      </c>
      <c r="L365" s="95" t="str">
        <f t="shared" si="217"/>
        <v>0</v>
      </c>
      <c r="M365" s="95" t="str">
        <f t="shared" si="218"/>
        <v>0</v>
      </c>
      <c r="N365" s="95" t="str">
        <f t="shared" si="219"/>
        <v>0</v>
      </c>
      <c r="O365" s="95" t="str">
        <f t="shared" si="220"/>
        <v>0</v>
      </c>
      <c r="P365" s="95" t="str">
        <f t="shared" si="221"/>
        <v>0</v>
      </c>
      <c r="Q365" s="95">
        <f>IF(AND(G365=T$5,LEN(G365)&gt;1),1,0)</f>
        <v>0</v>
      </c>
      <c r="R365" s="97">
        <f>Singles!D$6</f>
        <v>4</v>
      </c>
      <c r="S365" s="95">
        <f>IF(AND(H365=H$5,LEN(H365)&gt;1,Q365=1),1,0)</f>
        <v>0</v>
      </c>
      <c r="T365" s="95" t="str">
        <f t="shared" si="222"/>
        <v>No</v>
      </c>
      <c r="U365" s="95" t="str">
        <f>IF(T365="Winner",IF(V365&gt;V347,B361,B343),"")</f>
        <v/>
      </c>
      <c r="V365" s="97">
        <f>VLOOKUP(4,X362:Y377,2,0)</f>
        <v>1</v>
      </c>
      <c r="W365" s="95">
        <v>4</v>
      </c>
      <c r="X365" s="95">
        <f t="shared" si="223"/>
        <v>4</v>
      </c>
      <c r="Y365" s="95">
        <f t="shared" si="224"/>
        <v>1</v>
      </c>
      <c r="Z365" s="95">
        <f t="shared" si="225"/>
        <v>1</v>
      </c>
    </row>
    <row r="366" spans="1:26">
      <c r="A366" s="95">
        <v>5</v>
      </c>
      <c r="B366" s="95">
        <f>Singles!E117</f>
        <v>0</v>
      </c>
      <c r="C366" s="100" t="str">
        <f>IF(OR(LEFT(B366,LEN(B$6))=B$6,LEFT(B366,LEN(C$6))=C$6,LEN(B366)&lt;2),"","Wrong pick")</f>
        <v/>
      </c>
      <c r="G366" s="95" t="str">
        <f>IF(B366=0,"",IF(LEFT(B366,LEN(B$6))=B$6,B$6,C$6))</f>
        <v/>
      </c>
      <c r="H366" s="95" t="str">
        <f t="shared" si="215"/>
        <v>0-0</v>
      </c>
      <c r="J366" s="97">
        <f>Singles!H$7</f>
        <v>1</v>
      </c>
      <c r="K366" s="95" t="str">
        <f t="shared" si="216"/>
        <v>SR</v>
      </c>
      <c r="L366" s="95" t="str">
        <f t="shared" si="217"/>
        <v>0</v>
      </c>
      <c r="M366" s="95" t="str">
        <f t="shared" si="218"/>
        <v>0</v>
      </c>
      <c r="N366" s="95" t="str">
        <f t="shared" si="219"/>
        <v>0</v>
      </c>
      <c r="O366" s="95" t="str">
        <f t="shared" si="220"/>
        <v>0</v>
      </c>
      <c r="P366" s="95" t="str">
        <f t="shared" si="221"/>
        <v>0</v>
      </c>
      <c r="Q366" s="95">
        <f>IF(AND(G366=T$6,LEN(G366)&gt;1),1,0)</f>
        <v>0</v>
      </c>
      <c r="R366" s="97">
        <f>Singles!D$7</f>
        <v>5</v>
      </c>
      <c r="S366" s="95">
        <f>IF(AND(H366=H$6,LEN(H366)&gt;1,Q366=1),1,0)</f>
        <v>0</v>
      </c>
      <c r="T366" s="95" t="str">
        <f t="shared" si="222"/>
        <v>No</v>
      </c>
      <c r="U366" s="95" t="str">
        <f>IF(T366="Winner",IF(V366&gt;V348,B361,B343),"")</f>
        <v/>
      </c>
      <c r="V366" s="97">
        <f>VLOOKUP(5,X362:Y377,2,0)</f>
        <v>1</v>
      </c>
      <c r="W366" s="95">
        <v>5</v>
      </c>
      <c r="X366" s="95">
        <f t="shared" si="223"/>
        <v>5</v>
      </c>
      <c r="Y366" s="95">
        <f t="shared" si="224"/>
        <v>1</v>
      </c>
      <c r="Z366" s="95">
        <f t="shared" si="225"/>
        <v>1</v>
      </c>
    </row>
    <row r="367" spans="1:26">
      <c r="A367" s="95">
        <v>6</v>
      </c>
      <c r="B367" s="95">
        <f>Singles!E118</f>
        <v>0</v>
      </c>
      <c r="C367" s="100" t="str">
        <f>IF(OR(LEFT(B367,LEN(B$7))=B$7,LEFT(B367,LEN(C$7))=C$7,LEN(B367)&lt;2),"","Wrong pick")</f>
        <v/>
      </c>
      <c r="G367" s="95" t="str">
        <f>IF(B367=0,"",IF(LEFT(B367,LEN(B$7))=B$7,B$7,C$7))</f>
        <v/>
      </c>
      <c r="H367" s="95" t="str">
        <f t="shared" si="215"/>
        <v>0-0</v>
      </c>
      <c r="J367" s="97">
        <f>Singles!H$8</f>
        <v>1</v>
      </c>
      <c r="K367" s="95" t="str">
        <f t="shared" si="216"/>
        <v>SR</v>
      </c>
      <c r="L367" s="95" t="str">
        <f t="shared" si="217"/>
        <v>0</v>
      </c>
      <c r="M367" s="95" t="str">
        <f t="shared" si="218"/>
        <v>0</v>
      </c>
      <c r="N367" s="95" t="str">
        <f t="shared" si="219"/>
        <v>0</v>
      </c>
      <c r="O367" s="95" t="str">
        <f t="shared" si="220"/>
        <v>0</v>
      </c>
      <c r="P367" s="95" t="str">
        <f t="shared" si="221"/>
        <v>0</v>
      </c>
      <c r="Q367" s="95">
        <f>IF(AND(G367=T$7,LEN(G367)&gt;1),1,0)</f>
        <v>0</v>
      </c>
      <c r="R367" s="97">
        <f>Singles!D$8</f>
        <v>6</v>
      </c>
      <c r="S367" s="95">
        <f>IF(AND(H367=H$7,LEN(H367)&gt;1,Q367=1),1,0)</f>
        <v>0</v>
      </c>
      <c r="T367" s="95" t="str">
        <f t="shared" si="222"/>
        <v>No</v>
      </c>
      <c r="U367" s="95" t="str">
        <f>IF(T367="Winner",IF(V367&gt;V349,B361,B343),"")</f>
        <v/>
      </c>
      <c r="V367" s="97">
        <f>VLOOKUP(6,X362:Y377,2,0)</f>
        <v>1</v>
      </c>
      <c r="W367" s="95">
        <v>6</v>
      </c>
      <c r="X367" s="95">
        <f t="shared" si="223"/>
        <v>6</v>
      </c>
      <c r="Y367" s="95">
        <f t="shared" si="224"/>
        <v>1</v>
      </c>
      <c r="Z367" s="95">
        <f t="shared" si="225"/>
        <v>1</v>
      </c>
    </row>
    <row r="368" spans="1:26">
      <c r="A368" s="95">
        <v>7</v>
      </c>
      <c r="B368" s="95">
        <f>Singles!E119</f>
        <v>0</v>
      </c>
      <c r="C368" s="100" t="str">
        <f>IF(OR(LEFT(B368,LEN(B$8))=B$8,LEFT(B368,LEN(C$8))=C$8,LEN(B368)&lt;2),"","Wrong pick")</f>
        <v/>
      </c>
      <c r="G368" s="95" t="str">
        <f>IF(B368=0,"",IF(LEFT(B368,LEN(B$8))=B$8,B$8,C$8))</f>
        <v/>
      </c>
      <c r="H368" s="95" t="str">
        <f t="shared" si="215"/>
        <v>0-0</v>
      </c>
      <c r="J368" s="97">
        <f>Singles!H$9</f>
        <v>1</v>
      </c>
      <c r="K368" s="95" t="str">
        <f t="shared" si="216"/>
        <v>SR</v>
      </c>
      <c r="L368" s="95" t="str">
        <f t="shared" si="217"/>
        <v>0</v>
      </c>
      <c r="M368" s="95" t="str">
        <f t="shared" si="218"/>
        <v>0</v>
      </c>
      <c r="N368" s="95" t="str">
        <f t="shared" si="219"/>
        <v>0</v>
      </c>
      <c r="O368" s="95" t="str">
        <f t="shared" si="220"/>
        <v>0</v>
      </c>
      <c r="P368" s="95" t="str">
        <f t="shared" si="221"/>
        <v>0</v>
      </c>
      <c r="Q368" s="95">
        <f>IF(AND(G368=T$8,LEN(G368)&gt;1),1,0)</f>
        <v>0</v>
      </c>
      <c r="R368" s="97">
        <f>Singles!D$9</f>
        <v>7</v>
      </c>
      <c r="S368" s="95">
        <f>IF(AND(H368=H$8,LEN(H368)&gt;1,Q368=1),1,0)</f>
        <v>0</v>
      </c>
      <c r="T368" s="95" t="str">
        <f t="shared" si="222"/>
        <v>No</v>
      </c>
      <c r="U368" s="95" t="str">
        <f>IF(T368="Winner",IF(V368&gt;V350,B361,B343),"")</f>
        <v/>
      </c>
      <c r="V368" s="97">
        <f>VLOOKUP(7,X362:Y377,2,0)</f>
        <v>1</v>
      </c>
      <c r="W368" s="95">
        <v>7</v>
      </c>
      <c r="X368" s="95">
        <f t="shared" si="223"/>
        <v>7</v>
      </c>
      <c r="Y368" s="95">
        <f t="shared" si="224"/>
        <v>1</v>
      </c>
      <c r="Z368" s="95">
        <f t="shared" si="225"/>
        <v>1</v>
      </c>
    </row>
    <row r="369" spans="1:26">
      <c r="A369" s="95">
        <v>8</v>
      </c>
      <c r="B369" s="95">
        <f>Singles!E120</f>
        <v>0</v>
      </c>
      <c r="C369" s="100" t="str">
        <f>IF(OR(LEFT(B369,LEN(B$9))=B$9,LEFT(B369,LEN(C$9))=C$9,LEN(B369)&lt;2),"","Wrong pick")</f>
        <v/>
      </c>
      <c r="G369" s="95" t="str">
        <f>IF(B369=0,"",IF(LEFT(B369,LEN(B$9))=B$9,B$9,C$9))</f>
        <v/>
      </c>
      <c r="H369" s="95" t="str">
        <f t="shared" si="215"/>
        <v>0-0</v>
      </c>
      <c r="J369" s="97">
        <f>Singles!H$10</f>
        <v>1</v>
      </c>
      <c r="K369" s="95" t="str">
        <f t="shared" si="216"/>
        <v>SR</v>
      </c>
      <c r="L369" s="95" t="str">
        <f t="shared" si="217"/>
        <v>0</v>
      </c>
      <c r="M369" s="95" t="str">
        <f t="shared" si="218"/>
        <v>0</v>
      </c>
      <c r="N369" s="95" t="str">
        <f t="shared" si="219"/>
        <v>0</v>
      </c>
      <c r="O369" s="95" t="str">
        <f t="shared" si="220"/>
        <v>0</v>
      </c>
      <c r="P369" s="95" t="str">
        <f t="shared" si="221"/>
        <v>0</v>
      </c>
      <c r="Q369" s="95">
        <f>IF(AND(G369=T$9,LEN(G369)&gt;1),1,0)</f>
        <v>0</v>
      </c>
      <c r="R369" s="97">
        <f>Singles!D$10</f>
        <v>8</v>
      </c>
      <c r="S369" s="95">
        <f>IF(AND(H369=H$9,LEN(H369)&gt;1,Q369=1),1,0)</f>
        <v>0</v>
      </c>
      <c r="T369" s="95" t="str">
        <f t="shared" si="222"/>
        <v>No</v>
      </c>
      <c r="U369" s="95" t="str">
        <f>IF(T369="Winner",IF(V369&gt;V351,B361,B343),"")</f>
        <v/>
      </c>
      <c r="V369" s="97">
        <f>VLOOKUP(8,X362:Y377,2,0)</f>
        <v>1</v>
      </c>
      <c r="W369" s="95">
        <v>8</v>
      </c>
      <c r="X369" s="95">
        <f t="shared" si="223"/>
        <v>8</v>
      </c>
      <c r="Y369" s="95">
        <f t="shared" si="224"/>
        <v>1</v>
      </c>
      <c r="Z369" s="95">
        <f t="shared" si="225"/>
        <v>1</v>
      </c>
    </row>
    <row r="370" spans="1:26">
      <c r="A370" s="95">
        <v>9</v>
      </c>
      <c r="B370" s="95">
        <f>Singles!E121</f>
        <v>0</v>
      </c>
      <c r="C370" s="100" t="str">
        <f>IF(OR(LEFT(B370,LEN(B$10))=B$10,LEFT(B370,LEN(C$10))=C$10,LEN(B370)&lt;2),"","Wrong pick")</f>
        <v/>
      </c>
      <c r="G370" s="95" t="str">
        <f>IF(B370=0,"",IF(LEFT(B370,LEN(B$10))=B$10,B$10,C$10))</f>
        <v/>
      </c>
      <c r="H370" s="95" t="str">
        <f t="shared" si="215"/>
        <v>0-0</v>
      </c>
      <c r="J370" s="97">
        <f>Singles!H$11</f>
        <v>1</v>
      </c>
      <c r="K370" s="95" t="str">
        <f t="shared" si="216"/>
        <v>SR</v>
      </c>
      <c r="L370" s="95" t="str">
        <f t="shared" si="217"/>
        <v>0</v>
      </c>
      <c r="M370" s="95" t="str">
        <f t="shared" si="218"/>
        <v>0</v>
      </c>
      <c r="N370" s="95" t="str">
        <f t="shared" si="219"/>
        <v>0</v>
      </c>
      <c r="O370" s="95" t="str">
        <f t="shared" si="220"/>
        <v>0</v>
      </c>
      <c r="P370" s="95" t="str">
        <f t="shared" si="221"/>
        <v>0</v>
      </c>
      <c r="Q370" s="95">
        <f>IF(AND(G370=T$10,LEN(G370)&gt;1),1,0)</f>
        <v>0</v>
      </c>
      <c r="R370" s="97">
        <f>Singles!D$11</f>
        <v>9</v>
      </c>
      <c r="S370" s="95">
        <f>IF(AND(H370=H$10,LEN(H370)&gt;1,Q370=1),1,0)</f>
        <v>0</v>
      </c>
      <c r="T370" s="95" t="str">
        <f t="shared" si="222"/>
        <v>No</v>
      </c>
      <c r="U370" s="95" t="str">
        <f>IF(T370="Winner",IF(V370&gt;V352,B361,B343),"")</f>
        <v/>
      </c>
      <c r="V370" s="97">
        <f>VLOOKUP(9,X362:Y377,2,0)</f>
        <v>1</v>
      </c>
      <c r="W370" s="95">
        <v>9</v>
      </c>
      <c r="X370" s="95">
        <f t="shared" si="223"/>
        <v>9</v>
      </c>
      <c r="Y370" s="95">
        <f t="shared" si="224"/>
        <v>1</v>
      </c>
      <c r="Z370" s="95">
        <f t="shared" si="225"/>
        <v>1</v>
      </c>
    </row>
    <row r="371" spans="1:26">
      <c r="A371" s="95">
        <v>10</v>
      </c>
      <c r="B371" s="95">
        <f>Singles!E122</f>
        <v>0</v>
      </c>
      <c r="C371" s="100" t="str">
        <f>IF(OR(LEFT(B371,LEN(B$11))=B$11,LEFT(B371,LEN(C$11))=C$11,LEN(B371)&lt;2),"","Wrong pick")</f>
        <v/>
      </c>
      <c r="G371" s="95" t="str">
        <f>IF(B371=0,"",IF(LEFT(B371,LEN(B$11))=B$11,B$11,C$11))</f>
        <v/>
      </c>
      <c r="H371" s="95" t="str">
        <f t="shared" si="215"/>
        <v>0-0</v>
      </c>
      <c r="J371" s="97">
        <f>Singles!H$12</f>
        <v>1</v>
      </c>
      <c r="K371" s="95" t="str">
        <f t="shared" si="216"/>
        <v>SR</v>
      </c>
      <c r="L371" s="95" t="str">
        <f t="shared" si="217"/>
        <v>0</v>
      </c>
      <c r="M371" s="95" t="str">
        <f t="shared" si="218"/>
        <v>0</v>
      </c>
      <c r="N371" s="95" t="str">
        <f t="shared" si="219"/>
        <v>0</v>
      </c>
      <c r="O371" s="95" t="str">
        <f t="shared" si="220"/>
        <v>0</v>
      </c>
      <c r="P371" s="95" t="str">
        <f t="shared" si="221"/>
        <v>0</v>
      </c>
      <c r="Q371" s="95">
        <f>IF(AND(G371=T$11,LEN(G371)&gt;1),1,0)</f>
        <v>0</v>
      </c>
      <c r="R371" s="97">
        <f>Singles!D$12</f>
        <v>10</v>
      </c>
      <c r="S371" s="95">
        <f>IF(AND(H371=H$11,LEN(H371)&gt;1,Q371=1),1,0)</f>
        <v>0</v>
      </c>
      <c r="T371" s="95" t="str">
        <f t="shared" si="222"/>
        <v>No</v>
      </c>
      <c r="U371" s="95" t="str">
        <f>IF(T371="Winner",IF(V371&gt;V353,B361,B343),"")</f>
        <v/>
      </c>
      <c r="V371" s="97">
        <f>VLOOKUP(10,X362:Y377,2,0)</f>
        <v>1</v>
      </c>
      <c r="W371" s="95">
        <v>10</v>
      </c>
      <c r="X371" s="95">
        <f t="shared" si="223"/>
        <v>10</v>
      </c>
      <c r="Y371" s="95">
        <f t="shared" si="224"/>
        <v>1</v>
      </c>
      <c r="Z371" s="95">
        <f t="shared" si="225"/>
        <v>1</v>
      </c>
    </row>
    <row r="372" spans="1:26">
      <c r="A372" s="95">
        <v>11</v>
      </c>
      <c r="B372" s="95">
        <f>Singles!E123</f>
        <v>0</v>
      </c>
      <c r="C372" s="100" t="str">
        <f>IF(OR(LEFT(B372,LEN(B$12))=B$12,LEFT(B372,LEN(C$12))=C$12,LEN(B372)&lt;2),"","Wrong pick")</f>
        <v/>
      </c>
      <c r="G372" s="95" t="str">
        <f>IF(B372=0,"",IF(LEFT(B372,LEN(B$12))=B$12,B$12,C$12))</f>
        <v/>
      </c>
      <c r="H372" s="95" t="str">
        <f t="shared" si="215"/>
        <v>0-0</v>
      </c>
      <c r="J372" s="97">
        <f>Singles!H$13</f>
        <v>1</v>
      </c>
      <c r="K372" s="95" t="str">
        <f t="shared" si="216"/>
        <v>SR</v>
      </c>
      <c r="L372" s="95" t="str">
        <f t="shared" si="217"/>
        <v>0</v>
      </c>
      <c r="M372" s="95" t="str">
        <f t="shared" si="218"/>
        <v>0</v>
      </c>
      <c r="N372" s="95" t="str">
        <f t="shared" si="219"/>
        <v>0</v>
      </c>
      <c r="O372" s="95" t="str">
        <f t="shared" si="220"/>
        <v>0</v>
      </c>
      <c r="P372" s="95" t="str">
        <f t="shared" si="221"/>
        <v>0</v>
      </c>
      <c r="Q372" s="95">
        <f>IF(AND(G372=T$12,LEN(G372)&gt;1),1,0)</f>
        <v>0</v>
      </c>
      <c r="R372" s="97">
        <f>Singles!D$13</f>
        <v>11</v>
      </c>
      <c r="S372" s="95">
        <f>IF(AND(H372=H$12,LEN(H372)&gt;1,Q372=1),1,0)</f>
        <v>0</v>
      </c>
      <c r="T372" s="95" t="str">
        <f t="shared" si="222"/>
        <v>No</v>
      </c>
      <c r="U372" s="95" t="str">
        <f>IF(T372="Winner",IF(V372&gt;V354,B361,B343),"")</f>
        <v/>
      </c>
      <c r="V372" s="97">
        <f>VLOOKUP(11,X362:Y377,2,0)</f>
        <v>1</v>
      </c>
      <c r="W372" s="95">
        <v>11</v>
      </c>
      <c r="X372" s="95">
        <f t="shared" si="223"/>
        <v>11</v>
      </c>
      <c r="Y372" s="95">
        <f t="shared" si="224"/>
        <v>1</v>
      </c>
      <c r="Z372" s="95">
        <f t="shared" si="225"/>
        <v>1</v>
      </c>
    </row>
    <row r="373" spans="1:26">
      <c r="A373" s="95">
        <v>12</v>
      </c>
      <c r="B373" s="95">
        <f>Singles!E124</f>
        <v>0</v>
      </c>
      <c r="C373" s="100" t="str">
        <f>IF(OR(LEFT(B373,LEN(B$13))=B$13,LEFT(B373,LEN(C$13))=C$13,LEN(B373)&lt;2),"","Wrong pick")</f>
        <v/>
      </c>
      <c r="G373" s="95" t="str">
        <f>IF(B373=0,"",IF(LEFT(B373,LEN(B$13))=B$13,B$13,C$13))</f>
        <v/>
      </c>
      <c r="H373" s="95" t="str">
        <f t="shared" si="215"/>
        <v>0-0</v>
      </c>
      <c r="J373" s="97">
        <f>Singles!H$14</f>
        <v>1</v>
      </c>
      <c r="K373" s="95" t="str">
        <f t="shared" si="216"/>
        <v>SR</v>
      </c>
      <c r="L373" s="95" t="str">
        <f t="shared" si="217"/>
        <v>0</v>
      </c>
      <c r="M373" s="95" t="str">
        <f t="shared" si="218"/>
        <v>0</v>
      </c>
      <c r="N373" s="95" t="str">
        <f t="shared" si="219"/>
        <v>0</v>
      </c>
      <c r="O373" s="95" t="str">
        <f t="shared" si="220"/>
        <v>0</v>
      </c>
      <c r="P373" s="95" t="str">
        <f t="shared" si="221"/>
        <v>0</v>
      </c>
      <c r="Q373" s="95">
        <f>IF(AND(G373=T$13,LEN(G373)&gt;1),1,0)</f>
        <v>0</v>
      </c>
      <c r="R373" s="97">
        <f>Singles!D$14</f>
        <v>12</v>
      </c>
      <c r="S373" s="95">
        <f>IF(AND(H373=H$13,LEN(H373)&gt;1,Q373=1),1,0)</f>
        <v>0</v>
      </c>
      <c r="T373" s="95" t="str">
        <f t="shared" si="222"/>
        <v>No</v>
      </c>
      <c r="U373" s="95" t="str">
        <f>IF(T373="Winner",IF(V373&gt;V355,B361,B343),"")</f>
        <v/>
      </c>
      <c r="V373" s="97">
        <f>VLOOKUP(12,X362:Y377,2,0)</f>
        <v>1</v>
      </c>
      <c r="W373" s="95">
        <v>12</v>
      </c>
      <c r="X373" s="95">
        <f t="shared" si="223"/>
        <v>12</v>
      </c>
      <c r="Y373" s="95">
        <f t="shared" si="224"/>
        <v>1</v>
      </c>
      <c r="Z373" s="95">
        <f t="shared" si="225"/>
        <v>1</v>
      </c>
    </row>
    <row r="374" spans="1:26">
      <c r="A374" s="95">
        <v>13</v>
      </c>
      <c r="B374" s="95">
        <f>Singles!E125</f>
        <v>0</v>
      </c>
      <c r="C374" s="100" t="str">
        <f>IF(OR(LEFT(B374,LEN(B$14))=B$14,LEFT(B374,LEN(C$14))=C$14,LEN(B374)&lt;2),"","Wrong pick")</f>
        <v/>
      </c>
      <c r="G374" s="95" t="str">
        <f>IF(B374=0,"",IF(LEFT(B374,LEN(B$14))=B$14,B$14,C$14))</f>
        <v/>
      </c>
      <c r="H374" s="95" t="str">
        <f t="shared" si="215"/>
        <v>0-0</v>
      </c>
      <c r="J374" s="97">
        <f>Singles!H$15</f>
        <v>1</v>
      </c>
      <c r="K374" s="95" t="str">
        <f t="shared" si="216"/>
        <v>SR</v>
      </c>
      <c r="L374" s="95" t="str">
        <f t="shared" si="217"/>
        <v>0</v>
      </c>
      <c r="M374" s="95" t="str">
        <f t="shared" si="218"/>
        <v>0</v>
      </c>
      <c r="N374" s="95" t="str">
        <f t="shared" si="219"/>
        <v>0</v>
      </c>
      <c r="O374" s="95" t="str">
        <f t="shared" si="220"/>
        <v>0</v>
      </c>
      <c r="P374" s="95" t="str">
        <f t="shared" si="221"/>
        <v>0</v>
      </c>
      <c r="Q374" s="95">
        <f>IF(AND(G374=T$14,LEN(G374)&gt;1),1,0)</f>
        <v>0</v>
      </c>
      <c r="R374" s="97">
        <f>Singles!D$15</f>
        <v>13</v>
      </c>
      <c r="S374" s="95">
        <f>IF(AND(H374=H$14,LEN(H374)&gt;1,Q374=1),1,0)</f>
        <v>0</v>
      </c>
      <c r="T374" s="95" t="str">
        <f t="shared" si="222"/>
        <v>No</v>
      </c>
      <c r="U374" s="95" t="str">
        <f>IF(T374="Winner",IF(V374&gt;V356,B361,B343),"")</f>
        <v/>
      </c>
      <c r="V374" s="97">
        <f>VLOOKUP(13,X362:Y377,2,0)</f>
        <v>1</v>
      </c>
      <c r="W374" s="95">
        <v>13</v>
      </c>
      <c r="X374" s="95">
        <f t="shared" si="223"/>
        <v>13</v>
      </c>
      <c r="Y374" s="95">
        <f t="shared" si="224"/>
        <v>1</v>
      </c>
      <c r="Z374" s="95">
        <f t="shared" si="225"/>
        <v>1</v>
      </c>
    </row>
    <row r="375" spans="1:26">
      <c r="A375" s="95">
        <v>14</v>
      </c>
      <c r="B375" s="95">
        <f>Singles!E126</f>
        <v>0</v>
      </c>
      <c r="C375" s="100" t="str">
        <f>IF(OR(LEFT(B375,LEN(B$15))=B$15,LEFT(B375,LEN(C$15))=C$15,LEN(B375)&lt;2),"","Wrong pick")</f>
        <v/>
      </c>
      <c r="G375" s="95" t="str">
        <f>IF(B375=0,"",IF(LEFT(B375,LEN(B$15))=B$15,B$15,C$15))</f>
        <v/>
      </c>
      <c r="H375" s="95" t="str">
        <f t="shared" si="215"/>
        <v>0-0</v>
      </c>
      <c r="J375" s="97">
        <f>Singles!H$16</f>
        <v>1</v>
      </c>
      <c r="K375" s="95" t="str">
        <f t="shared" si="216"/>
        <v>SR</v>
      </c>
      <c r="L375" s="95" t="str">
        <f t="shared" si="217"/>
        <v>0</v>
      </c>
      <c r="M375" s="95" t="str">
        <f t="shared" si="218"/>
        <v>0</v>
      </c>
      <c r="N375" s="95" t="str">
        <f t="shared" si="219"/>
        <v>0</v>
      </c>
      <c r="O375" s="95" t="str">
        <f t="shared" si="220"/>
        <v>0</v>
      </c>
      <c r="P375" s="95" t="str">
        <f t="shared" si="221"/>
        <v>0</v>
      </c>
      <c r="Q375" s="95">
        <f>IF(AND(G375=T$15,LEN(G375)&gt;1),1,0)</f>
        <v>0</v>
      </c>
      <c r="R375" s="97">
        <f>Singles!D$16</f>
        <v>14</v>
      </c>
      <c r="S375" s="95">
        <f>IF(AND(H375=H$15,LEN(H375)&gt;1,Q375=1),1,0)</f>
        <v>0</v>
      </c>
      <c r="T375" s="95" t="str">
        <f t="shared" si="222"/>
        <v>No</v>
      </c>
      <c r="U375" s="95" t="str">
        <f>IF(T375="Winner",IF(V375&gt;V357,B361,B343),"")</f>
        <v/>
      </c>
      <c r="V375" s="97">
        <f>VLOOKUP(14,X362:Y377,2,0)</f>
        <v>1</v>
      </c>
      <c r="W375" s="95">
        <v>14</v>
      </c>
      <c r="X375" s="95">
        <f t="shared" si="223"/>
        <v>14</v>
      </c>
      <c r="Y375" s="95">
        <f t="shared" si="224"/>
        <v>1</v>
      </c>
      <c r="Z375" s="95">
        <f t="shared" si="225"/>
        <v>1</v>
      </c>
    </row>
    <row r="376" spans="1:26">
      <c r="A376" s="95">
        <v>15</v>
      </c>
      <c r="B376" s="95">
        <f>Singles!E127</f>
        <v>0</v>
      </c>
      <c r="C376" s="100" t="str">
        <f>IF(OR(LEFT(B376,LEN(B$16))=B$16,LEFT(B376,LEN(C$16))=C$16,LEN(B376)&lt;2),"","Wrong pick")</f>
        <v/>
      </c>
      <c r="G376" s="95" t="str">
        <f>IF(B376=0,"",IF(LEFT(B376,LEN(B$16))=B$16,B$16,C$16))</f>
        <v/>
      </c>
      <c r="H376" s="95" t="str">
        <f t="shared" si="215"/>
        <v>0-0</v>
      </c>
      <c r="J376" s="97">
        <f>Singles!H$17</f>
        <v>1</v>
      </c>
      <c r="K376" s="95" t="str">
        <f t="shared" si="216"/>
        <v>SR</v>
      </c>
      <c r="L376" s="95" t="str">
        <f t="shared" si="217"/>
        <v>0</v>
      </c>
      <c r="M376" s="95" t="str">
        <f t="shared" si="218"/>
        <v>0</v>
      </c>
      <c r="N376" s="95" t="str">
        <f t="shared" si="219"/>
        <v>0</v>
      </c>
      <c r="O376" s="95" t="str">
        <f t="shared" si="220"/>
        <v>0</v>
      </c>
      <c r="P376" s="95" t="str">
        <f t="shared" si="221"/>
        <v>0</v>
      </c>
      <c r="Q376" s="95">
        <f>IF(AND(G376=T$16,LEN(G376)&gt;1),1,0)</f>
        <v>0</v>
      </c>
      <c r="R376" s="97">
        <f>Singles!D$17</f>
        <v>15</v>
      </c>
      <c r="S376" s="95">
        <f>IF(AND(H376=H$16,LEN(H376)&gt;1,Q376=1),1,0)</f>
        <v>0</v>
      </c>
      <c r="T376" s="95" t="str">
        <f t="shared" si="222"/>
        <v>No</v>
      </c>
      <c r="U376" s="95" t="str">
        <f>IF(T376="Winner",IF(V376&gt;V358,B361,B343),"")</f>
        <v/>
      </c>
      <c r="V376" s="97">
        <f>VLOOKUP(15,X362:Y377,2,0)</f>
        <v>1</v>
      </c>
      <c r="W376" s="95">
        <v>15</v>
      </c>
      <c r="X376" s="95">
        <f t="shared" si="223"/>
        <v>15</v>
      </c>
      <c r="Y376" s="95">
        <f t="shared" si="224"/>
        <v>1</v>
      </c>
      <c r="Z376" s="95">
        <f t="shared" si="225"/>
        <v>1</v>
      </c>
    </row>
    <row r="377" spans="1:26">
      <c r="A377" s="95">
        <v>16</v>
      </c>
      <c r="B377" s="95">
        <f>Singles!E128</f>
        <v>0</v>
      </c>
      <c r="C377" s="100" t="str">
        <f>IF(OR(LEFT(B377,LEN(B$17))=B$17,LEFT(B377,LEN(C$17))=C$17,LEN(B377)&lt;2),"","Wrong pick")</f>
        <v/>
      </c>
      <c r="G377" s="95" t="str">
        <f>IF(B377=0,"",IF(LEFT(B377,LEN(B$17))=B$17,B$17,C$17))</f>
        <v/>
      </c>
      <c r="H377" s="95" t="str">
        <f t="shared" si="215"/>
        <v>0-0</v>
      </c>
      <c r="J377" s="97">
        <f>Singles!H$18</f>
        <v>1</v>
      </c>
      <c r="K377" s="95" t="str">
        <f t="shared" si="216"/>
        <v>SR</v>
      </c>
      <c r="L377" s="95" t="str">
        <f t="shared" si="217"/>
        <v>0</v>
      </c>
      <c r="M377" s="95" t="str">
        <f t="shared" si="218"/>
        <v>0</v>
      </c>
      <c r="N377" s="95" t="str">
        <f t="shared" si="219"/>
        <v>0</v>
      </c>
      <c r="O377" s="95" t="str">
        <f t="shared" si="220"/>
        <v>0</v>
      </c>
      <c r="P377" s="95" t="str">
        <f t="shared" si="221"/>
        <v>0</v>
      </c>
      <c r="Q377" s="95">
        <f>IF(AND(G377=T$17,LEN(G377)&gt;1),1,0)</f>
        <v>0</v>
      </c>
      <c r="R377" s="97">
        <f>Singles!D$18</f>
        <v>16</v>
      </c>
      <c r="S377" s="95">
        <f>IF(AND(H377=H$17,LEN(H377)&gt;1,Q377=1),1,0)</f>
        <v>0</v>
      </c>
      <c r="T377" s="95" t="str">
        <f t="shared" si="222"/>
        <v>No</v>
      </c>
      <c r="U377" s="95" t="str">
        <f>IF(T377="Winner",IF(V377&gt;V359,B361,B343),"")</f>
        <v/>
      </c>
      <c r="V377" s="97">
        <f>VLOOKUP(16,X362:Y377,2,0)</f>
        <v>1</v>
      </c>
      <c r="W377" s="95">
        <v>16</v>
      </c>
      <c r="X377" s="95">
        <f t="shared" si="223"/>
        <v>16</v>
      </c>
      <c r="Y377" s="95">
        <f t="shared" si="224"/>
        <v>1</v>
      </c>
      <c r="Z377" s="95">
        <f t="shared" si="225"/>
        <v>1</v>
      </c>
    </row>
    <row r="378" spans="1:26">
      <c r="T378" s="95" t="s">
        <v>89</v>
      </c>
      <c r="U378" s="95" t="s">
        <v>125</v>
      </c>
      <c r="W378" s="95">
        <v>17</v>
      </c>
    </row>
    <row r="379" spans="1:26">
      <c r="A379" s="95" t="e">
        <f>IF(LEN(VLOOKUP(B379,Singles!$A$2:$B$33,2,0))&gt;0,VLOOKUP(B379,Singles!$A$2:$B$33,2,0),"")</f>
        <v>#N/A</v>
      </c>
      <c r="B379" s="96">
        <f>Singles!F112</f>
        <v>0</v>
      </c>
      <c r="C379" s="96">
        <v>21</v>
      </c>
      <c r="D379" s="95" t="e">
        <f>VLOOKUP(B379,Singles!$A$2:$C$33,3,0)</f>
        <v>#N/A</v>
      </c>
      <c r="J379" s="95" t="s">
        <v>88</v>
      </c>
      <c r="Q379" s="95" t="s">
        <v>121</v>
      </c>
      <c r="S379" s="95" t="s">
        <v>122</v>
      </c>
      <c r="T379" s="95" t="e">
        <f>IF(LEN(A379)&gt;0,"("&amp;A379&amp;") "&amp;B379,B379)&amp;IF(LEN(D379)&gt;1," ("&amp;D379&amp;")","")</f>
        <v>#N/A</v>
      </c>
      <c r="V379" s="95" t="s">
        <v>123</v>
      </c>
      <c r="Y379" s="95" t="s">
        <v>123</v>
      </c>
    </row>
    <row r="380" spans="1:26">
      <c r="A380" s="95">
        <v>1</v>
      </c>
      <c r="B380" s="95">
        <f>Singles!F113</f>
        <v>0</v>
      </c>
      <c r="C380" s="99" t="str">
        <f>IF(OR(LEFT(B380,LEN(B$2))=B$2,LEFT(B380,LEN(C$2))=C$2,LEN(B380)&lt;2),"","Wrong pick")</f>
        <v/>
      </c>
      <c r="D380" s="95">
        <f t="shared" ref="D380:D395" ca="1" si="226">IF(OR(G380=G398,INDIRECT(ADDRESS(A380+1,6,1))&gt;0),0,1)</f>
        <v>0</v>
      </c>
      <c r="E380" s="95" t="str">
        <f ca="1">IF(AND(D380=1,J380=$I$2),G380&amp;", ","")&amp;IF(AND(D381=1,J381=$I$2),G381&amp;", ","")&amp;IF(AND(D382=1,J382=$I$2),G382&amp;", ","")&amp;IF(AND(D383=1,J383=$I$2),G383&amp;", ","")&amp;IF(AND(D384=1,J384=$I$2),G384&amp;", ","")&amp;IF(AND(D385=1,J385=$I$2),G385&amp;", ","")&amp;IF(AND(D386=1,J386=$I$2),G386&amp;", ","")&amp;IF(AND(D387=1,J387=$I$2),G387&amp;", ","")&amp;IF(AND(D388=1,J388=$I$2),G388&amp;", ","")&amp;IF(AND(D389=1,J389=$I$2),G389&amp;", ","")&amp;IF(AND(D390=1,J390=$I$2),G390&amp;", ","")&amp;IF(AND(D391=1,J391=$I$2),G391&amp;", ","")&amp;IF(AND(D392=1,J392=$I$2),G392&amp;", ","")&amp;IF(AND(D393=1,J393=$I$2),G393&amp;", ","")&amp;IF(AND(D394=1,J394=$I$2),G394&amp;", ","")&amp;IF(AND(D395=1,J395=$I$2),G395&amp;", ","")</f>
        <v/>
      </c>
      <c r="F380" s="95" t="str">
        <f>IF(AND(SUM(Z380:Z395)=$I$4,NOT(B379="Bye")),"Missing picks from "&amp;B379&amp;" ","")</f>
        <v xml:space="preserve">Missing picks from 0 </v>
      </c>
      <c r="G380" s="95" t="str">
        <f>IF(B380=0,"",IF(LEFT(B380,LEN(B$2))=B$2,B$2,C$2))</f>
        <v/>
      </c>
      <c r="H380" s="95" t="str">
        <f t="shared" ref="H380:H395" si="227">IF(L380="","",IF(K380="PTS",IF(LEN(O380)&lt;8,"2-0","2-1"),LEFT(O380,1)&amp;"-"&amp;RIGHT(O380,1)))</f>
        <v>0-0</v>
      </c>
      <c r="I380" s="95" t="str">
        <f ca="1">IF(AND(J380=Singles!$H$21,INDIRECT(ADDRESS(A380+1,6,1))=0,NOT(INDIRECT(ADDRESS(A380+1,5,1))="")),IF(D380=0,IF(H380=H398,"",G380&amp;" "&amp;H380&amp;" v "&amp;H398&amp;", "),G380&amp;" "&amp;H380&amp;" vs. "&amp;G398&amp;" "&amp;H398&amp;", "),"")</f>
        <v/>
      </c>
      <c r="J380" s="97">
        <f>Singles!H$3</f>
        <v>1</v>
      </c>
      <c r="K380" s="95" t="str">
        <f t="shared" ref="K380:K395" si="228">IF(LEN(L380)&gt;0,IF(LEN(O380)&lt;4,"SR","PTS"),"")</f>
        <v>SR</v>
      </c>
      <c r="L380" s="95" t="str">
        <f t="shared" ref="L380:L395" si="229">TRIM(RIGHT(B380,LEN(B380)-LEN(G380)))</f>
        <v>0</v>
      </c>
      <c r="M380" s="95" t="str">
        <f t="shared" ref="M380:M395" si="230">SUBSTITUTE(L380,"-","")</f>
        <v>0</v>
      </c>
      <c r="N380" s="95" t="str">
        <f t="shared" ref="N380:N395" si="231">SUBSTITUTE(M380,","," ")</f>
        <v>0</v>
      </c>
      <c r="O380" s="95" t="str">
        <f t="shared" ref="O380:O395" si="232">IF(AND(LEN(TRIM(SUBSTITUTE(P380,"/","")))&gt;6,OR(LEFT(TRIM(SUBSTITUTE(P380,"/","")),2)="20",LEFT(TRIM(SUBSTITUTE(P380,"/","")),2)="21")),RIGHT(TRIM(SUBSTITUTE(P380,"/","")),LEN(TRIM(SUBSTITUTE(P380,"/","")))-3),TRIM(SUBSTITUTE(P380,"/","")))</f>
        <v>0</v>
      </c>
      <c r="P380" s="95" t="str">
        <f t="shared" ref="P380:P395" si="233">SUBSTITUTE(N380,":","")</f>
        <v>0</v>
      </c>
      <c r="Q380" s="95">
        <f>IF(AND(G380=T$2,LEN(G380)&gt;1),1,0)</f>
        <v>0</v>
      </c>
      <c r="R380" s="97">
        <f>Singles!D$3</f>
        <v>1</v>
      </c>
      <c r="S380" s="95">
        <f>IF(AND(H380=H$2,LEN(H380)&gt;1,Q380=1),1,0)</f>
        <v>0</v>
      </c>
      <c r="T380" s="95" t="str">
        <f ca="1">" SR Differences: "&amp;IF(LEN(I380&amp;I381&amp;I382&amp;I383&amp;I384&amp;I385&amp;I386&amp;I387&amp;I388&amp;I389&amp;I390&amp;I391&amp;I392&amp;I393&amp;I394&amp;I395)&lt;3,"None..",I380&amp;I381&amp;I382&amp;I383&amp;I384&amp;I385&amp;I386&amp;I387&amp;I388&amp;I389&amp;I390&amp;I391&amp;I392&amp;I393&amp;I394&amp;I395)</f>
        <v xml:space="preserve"> SR Differences: None..</v>
      </c>
      <c r="V380" s="97">
        <f>VLOOKUP(1,X380:Y395,2,0)</f>
        <v>1</v>
      </c>
      <c r="X380" s="95">
        <f t="shared" ref="X380:X395" si="234">R380</f>
        <v>1</v>
      </c>
      <c r="Y380" s="95">
        <f t="shared" ref="Y380:Y395" si="235">IF(Q380=1,IF(S380=1,4,3),IF(H380="2-1",2,1))</f>
        <v>1</v>
      </c>
      <c r="Z380" s="95">
        <f t="shared" ref="Z380:Z395" si="236">IF(AND($I$2=J380,B380=0),1,0)</f>
        <v>1</v>
      </c>
    </row>
    <row r="381" spans="1:26">
      <c r="A381" s="95">
        <v>2</v>
      </c>
      <c r="B381" s="95">
        <f>Singles!F114</f>
        <v>0</v>
      </c>
      <c r="C381" s="100" t="str">
        <f>IF(OR(LEFT(B381,LEN(B$3))=B$3,LEFT(B381,LEN(C$3))=C$3,LEN(B381)&lt;2),"","Wrong pick")</f>
        <v/>
      </c>
      <c r="D381" s="95">
        <f t="shared" ca="1" si="226"/>
        <v>0</v>
      </c>
      <c r="G381" s="95" t="str">
        <f>IF(B381=0,"",IF(LEFT(B381,LEN(B$3))=B$3,B$3,C$3))</f>
        <v/>
      </c>
      <c r="H381" s="95" t="str">
        <f t="shared" si="227"/>
        <v>0-0</v>
      </c>
      <c r="I381" s="95" t="str">
        <f ca="1">IF(AND(J381=Singles!$H$21,INDIRECT(ADDRESS(A381+1,6,1))=0,NOT(INDIRECT(ADDRESS(A381+1,5,1))="")),IF(D381=0,IF(H381=H399,"",G381&amp;" "&amp;H381&amp;" v "&amp;H399&amp;", "),G381&amp;" "&amp;H381&amp;" vs. "&amp;G399&amp;" "&amp;H399&amp;", "),"")</f>
        <v/>
      </c>
      <c r="J381" s="97">
        <f>Singles!H$4</f>
        <v>1</v>
      </c>
      <c r="K381" s="95" t="str">
        <f t="shared" si="228"/>
        <v>SR</v>
      </c>
      <c r="L381" s="95" t="str">
        <f t="shared" si="229"/>
        <v>0</v>
      </c>
      <c r="M381" s="95" t="str">
        <f t="shared" si="230"/>
        <v>0</v>
      </c>
      <c r="N381" s="95" t="str">
        <f t="shared" si="231"/>
        <v>0</v>
      </c>
      <c r="O381" s="95" t="str">
        <f t="shared" si="232"/>
        <v>0</v>
      </c>
      <c r="P381" s="95" t="str">
        <f t="shared" si="233"/>
        <v>0</v>
      </c>
      <c r="Q381" s="95">
        <f>IF(AND(G381=T$3,LEN(G381)&gt;1),1,0)</f>
        <v>0</v>
      </c>
      <c r="R381" s="97">
        <f>Singles!D$4</f>
        <v>2</v>
      </c>
      <c r="S381" s="95">
        <f>IF(AND(H381=H$3,LEN(H381)&gt;1,Q381=1),1,0)</f>
        <v>0</v>
      </c>
      <c r="T381" s="95" t="str">
        <f ca="1">IF(T382&gt;0,LEFT(E380,LEN(E380)-2)&amp;" vs. "&amp;LEFT(E398,LEN(E398)-2),IF(SUMIF(Singles!$H$3:$H$18,"="&amp;Singles!$H$21,Singles!$I$3:$I$18)=0,"Same winners;",""))</f>
        <v>Same winners;</v>
      </c>
      <c r="V381" s="97">
        <f>VLOOKUP(2,X380:Y395,2,0)</f>
        <v>1</v>
      </c>
      <c r="X381" s="95">
        <f t="shared" si="234"/>
        <v>2</v>
      </c>
      <c r="Y381" s="95">
        <f t="shared" si="235"/>
        <v>1</v>
      </c>
      <c r="Z381" s="95">
        <f t="shared" si="236"/>
        <v>1</v>
      </c>
    </row>
    <row r="382" spans="1:26">
      <c r="A382" s="95">
        <v>3</v>
      </c>
      <c r="B382" s="95">
        <f>Singles!F115</f>
        <v>0</v>
      </c>
      <c r="C382" s="100" t="str">
        <f>IF(OR(LEFT(B382,LEN(B$4))=B$4,LEFT(B382,LEN(C$4))=C$4,LEN(B382)&lt;2),"","Wrong pick")</f>
        <v/>
      </c>
      <c r="D382" s="95">
        <f t="shared" ca="1" si="226"/>
        <v>0</v>
      </c>
      <c r="G382" s="95" t="str">
        <f>IF(B382=0,"",IF(LEFT(B382,LEN(B$4))=B$4,B$4,C$4))</f>
        <v/>
      </c>
      <c r="H382" s="95" t="str">
        <f t="shared" si="227"/>
        <v>0-0</v>
      </c>
      <c r="I382" s="95" t="str">
        <f ca="1">IF(AND(J382=Singles!$H$21,INDIRECT(ADDRESS(A382+1,6,1))=0,NOT(INDIRECT(ADDRESS(A382+1,5,1))="")),IF(D382=0,IF(H382=H400,"",G382&amp;" "&amp;H382&amp;" v "&amp;H400&amp;", "),G382&amp;" "&amp;H382&amp;" vs. "&amp;G400&amp;" "&amp;H400&amp;", "),"")</f>
        <v/>
      </c>
      <c r="J382" s="97">
        <f>Singles!H$5</f>
        <v>1</v>
      </c>
      <c r="K382" s="95" t="str">
        <f t="shared" si="228"/>
        <v>SR</v>
      </c>
      <c r="L382" s="95" t="str">
        <f t="shared" si="229"/>
        <v>0</v>
      </c>
      <c r="M382" s="95" t="str">
        <f t="shared" si="230"/>
        <v>0</v>
      </c>
      <c r="N382" s="95" t="str">
        <f t="shared" si="231"/>
        <v>0</v>
      </c>
      <c r="O382" s="95" t="str">
        <f t="shared" si="232"/>
        <v>0</v>
      </c>
      <c r="P382" s="95" t="str">
        <f t="shared" si="233"/>
        <v>0</v>
      </c>
      <c r="Q382" s="95">
        <f>IF(AND(G382=T$4,LEN(G382)&gt;1),1,0)</f>
        <v>0</v>
      </c>
      <c r="R382" s="97">
        <f>Singles!D$5</f>
        <v>3</v>
      </c>
      <c r="S382" s="95">
        <f>IF(AND(H382=H$4,LEN(H382)&gt;1,Q382=1),1,0)</f>
        <v>0</v>
      </c>
      <c r="T382" s="101">
        <f ca="1">SUMIF(J380:J395,$I$2,D380:D395)</f>
        <v>0</v>
      </c>
      <c r="V382" s="97">
        <f>VLOOKUP(3,X380:Y395,2,0)</f>
        <v>1</v>
      </c>
      <c r="X382" s="95">
        <f t="shared" si="234"/>
        <v>3</v>
      </c>
      <c r="Y382" s="95">
        <f t="shared" si="235"/>
        <v>1</v>
      </c>
      <c r="Z382" s="95">
        <f t="shared" si="236"/>
        <v>1</v>
      </c>
    </row>
    <row r="383" spans="1:26">
      <c r="A383" s="95">
        <v>4</v>
      </c>
      <c r="B383" s="95">
        <f>Singles!F116</f>
        <v>0</v>
      </c>
      <c r="C383" s="100" t="str">
        <f>IF(OR(LEFT(B383,LEN(B$5))=B$5,LEFT(B383,LEN(C$5))=C$5,LEN(B383)&lt;2),"","Wrong pick")</f>
        <v/>
      </c>
      <c r="D383" s="95">
        <f t="shared" ca="1" si="226"/>
        <v>0</v>
      </c>
      <c r="G383" s="95" t="str">
        <f>IF(B383=0,"",IF(LEFT(B383,LEN(B$5))=B$5,B$5,C$5))</f>
        <v/>
      </c>
      <c r="H383" s="95" t="str">
        <f t="shared" si="227"/>
        <v>0-0</v>
      </c>
      <c r="I383" s="95" t="str">
        <f ca="1">IF(AND(J383=Singles!$H$21,INDIRECT(ADDRESS(A383+1,6,1))=0,NOT(INDIRECT(ADDRESS(A383+1,5,1))="")),IF(D383=0,IF(H383=H401,"",G383&amp;" "&amp;H383&amp;" v "&amp;H401&amp;", "),G383&amp;" "&amp;H383&amp;" vs. "&amp;G401&amp;" "&amp;H401&amp;", "),"")</f>
        <v/>
      </c>
      <c r="J383" s="97">
        <f>Singles!H$6</f>
        <v>1</v>
      </c>
      <c r="K383" s="95" t="str">
        <f t="shared" si="228"/>
        <v>SR</v>
      </c>
      <c r="L383" s="95" t="str">
        <f t="shared" si="229"/>
        <v>0</v>
      </c>
      <c r="M383" s="95" t="str">
        <f t="shared" si="230"/>
        <v>0</v>
      </c>
      <c r="N383" s="95" t="str">
        <f t="shared" si="231"/>
        <v>0</v>
      </c>
      <c r="O383" s="95" t="str">
        <f t="shared" si="232"/>
        <v>0</v>
      </c>
      <c r="P383" s="95" t="str">
        <f t="shared" si="233"/>
        <v>0</v>
      </c>
      <c r="Q383" s="95">
        <f>IF(AND(G383=T$5,LEN(G383)&gt;1),1,0)</f>
        <v>0</v>
      </c>
      <c r="R383" s="97">
        <f>Singles!D$6</f>
        <v>4</v>
      </c>
      <c r="S383" s="95">
        <f>IF(AND(H383=H$5,LEN(H383)&gt;1,Q383=1),1,0)</f>
        <v>0</v>
      </c>
      <c r="T383" s="102" t="e">
        <f>IF(T385&lt;10,"0","")&amp;T385&amp;":"&amp;IF(T386&lt;10,"0","")&amp;T386&amp;" | [b]"&amp;IF(LEN(U383)&gt;0,U383,T379&amp;"[/b] vs. [b]"&amp;T397&amp;"[/b]"&amp;IF(Singles!$H$21&gt;1," (SR "&amp;U385&amp;":"&amp;U386&amp;")","")&amp;" - "&amp;IF(COUNTIF(C380:C413,"=Wrong Pick")&gt;0,"Incorrect pick, probably a spelling mistake",IF(AND(F380="",F398=""),T381&amp;IF(AND(OR(AND(Singles!$H$20&gt;1,Singles!$H$21&lt;Singles!$H$20),MOD(T382+T385+T386,2)=0),NOT(Singles!$H$23="No")),LEFT(T380,LEN(T380)-2),""),F380&amp;F398)))</f>
        <v>#N/A</v>
      </c>
      <c r="U383" s="95" t="str">
        <f>IF(B379="Bye","Bye[/b] vs. [b][color=blue]"&amp;T397&amp;"[/color][/b]",IF(B397="Bye","[color=blue]"&amp;T379&amp;"[/color][/b] vs. [b]Bye[/b]",""))</f>
        <v/>
      </c>
      <c r="V383" s="97">
        <f>VLOOKUP(4,X380:Y395,2,0)</f>
        <v>1</v>
      </c>
      <c r="X383" s="95">
        <f t="shared" si="234"/>
        <v>4</v>
      </c>
      <c r="Y383" s="95">
        <f t="shared" si="235"/>
        <v>1</v>
      </c>
      <c r="Z383" s="95">
        <f t="shared" si="236"/>
        <v>1</v>
      </c>
    </row>
    <row r="384" spans="1:26">
      <c r="A384" s="95">
        <v>5</v>
      </c>
      <c r="B384" s="95">
        <f>Singles!F117</f>
        <v>0</v>
      </c>
      <c r="C384" s="100" t="str">
        <f>IF(OR(LEFT(B384,LEN(B$6))=B$6,LEFT(B384,LEN(C$6))=C$6,LEN(B384)&lt;2),"","Wrong pick")</f>
        <v/>
      </c>
      <c r="D384" s="95">
        <f t="shared" ca="1" si="226"/>
        <v>0</v>
      </c>
      <c r="G384" s="95" t="str">
        <f>IF(B384=0,"",IF(LEFT(B384,LEN(B$6))=B$6,B$6,C$6))</f>
        <v/>
      </c>
      <c r="H384" s="95" t="str">
        <f t="shared" si="227"/>
        <v>0-0</v>
      </c>
      <c r="I384" s="95" t="str">
        <f ca="1">IF(AND(J384=Singles!$H$21,INDIRECT(ADDRESS(A384+1,6,1))=0,NOT(INDIRECT(ADDRESS(A384+1,5,1))="")),IF(D384=0,IF(H384=H402,"",G384&amp;" "&amp;H384&amp;" v "&amp;H402&amp;", "),G384&amp;" "&amp;H384&amp;" vs. "&amp;G402&amp;" "&amp;H402&amp;", "),"")</f>
        <v/>
      </c>
      <c r="J384" s="97">
        <f>Singles!H$7</f>
        <v>1</v>
      </c>
      <c r="K384" s="95" t="str">
        <f t="shared" si="228"/>
        <v>SR</v>
      </c>
      <c r="L384" s="95" t="str">
        <f t="shared" si="229"/>
        <v>0</v>
      </c>
      <c r="M384" s="95" t="str">
        <f t="shared" si="230"/>
        <v>0</v>
      </c>
      <c r="N384" s="95" t="str">
        <f t="shared" si="231"/>
        <v>0</v>
      </c>
      <c r="O384" s="95" t="str">
        <f t="shared" si="232"/>
        <v>0</v>
      </c>
      <c r="P384" s="95" t="str">
        <f t="shared" si="233"/>
        <v>0</v>
      </c>
      <c r="Q384" s="95">
        <f>IF(AND(G384=T$6,LEN(G384)&gt;1),1,0)</f>
        <v>0</v>
      </c>
      <c r="R384" s="97">
        <f>Singles!D$7</f>
        <v>5</v>
      </c>
      <c r="S384" s="95">
        <f>IF(AND(H384=H$6,LEN(H384)&gt;1,Q384=1),1,0)</f>
        <v>0</v>
      </c>
      <c r="T384" s="103" t="str">
        <f>IF(Singles!$H$22=$F$18,IF(T385&gt;T386,B379,IF(T385&lt;T386,B397,IF(U385&gt;U386,B379,IF(U385&lt;U386,B397,T388)))),"No decision yet")</f>
        <v>No decision yet</v>
      </c>
      <c r="U384" s="104" t="e">
        <f>IF(T385&lt;10,"0","")&amp;T385&amp;":"&amp;IF(T386&lt;10,"0","")&amp;T386&amp;" | "&amp;IF(AND(A379&gt;0,A379&lt;33,B379=T384),"[b][color=Blue]"&amp;T379&amp;"[/color][/b]",IF(B379=T384,"[color=Blue]"&amp;T379&amp;"[/color]",IF(AND(A379&gt;0,A379&lt;33),"[b]"&amp;T379&amp;"[/b]",T379)))&amp;" vs. "&amp;IF(AND(A397&gt;0,A397&lt;33,B397=T384),"[b][color=Blue]"&amp;T397&amp;"[/color][/b]",IF(B397=T384,"[color=Blue]"&amp;T397&amp;"[/color]",IF(AND(A397&gt;0,A397&lt;33),"[b]"&amp;T397&amp;"[/b]",T397)))&amp;IF(OR(Singles!$B$40="yes",T385=T386)," #SRs: "&amp;U385&amp;"-"&amp;U386,"")&amp;IF(AND(T385=T386,U385=U386,U388&lt;17,Singles!$H$22=$F$18),", Shootout: SR"&amp;U388,"")</f>
        <v>#N/A</v>
      </c>
      <c r="V384" s="97">
        <f>VLOOKUP(5,X380:Y395,2,0)</f>
        <v>1</v>
      </c>
      <c r="X384" s="95">
        <f t="shared" si="234"/>
        <v>5</v>
      </c>
      <c r="Y384" s="95">
        <f t="shared" si="235"/>
        <v>1</v>
      </c>
      <c r="Z384" s="95">
        <f t="shared" si="236"/>
        <v>1</v>
      </c>
    </row>
    <row r="385" spans="1:26">
      <c r="A385" s="95">
        <v>6</v>
      </c>
      <c r="B385" s="95">
        <f>Singles!F118</f>
        <v>0</v>
      </c>
      <c r="C385" s="100" t="str">
        <f>IF(OR(LEFT(B385,LEN(B$7))=B$7,LEFT(B385,LEN(C$7))=C$7,LEN(B385)&lt;2),"","Wrong pick")</f>
        <v/>
      </c>
      <c r="D385" s="95">
        <f t="shared" ca="1" si="226"/>
        <v>0</v>
      </c>
      <c r="G385" s="95" t="str">
        <f>IF(B385=0,"",IF(LEFT(B385,LEN(B$7))=B$7,B$7,C$7))</f>
        <v/>
      </c>
      <c r="H385" s="95" t="str">
        <f t="shared" si="227"/>
        <v>0-0</v>
      </c>
      <c r="I385" s="95" t="str">
        <f ca="1">IF(AND(J385=Singles!$H$21,INDIRECT(ADDRESS(A385+1,6,1))=0,NOT(INDIRECT(ADDRESS(A385+1,5,1))="")),IF(D385=0,IF(H385=H403,"",G385&amp;" "&amp;H385&amp;" v "&amp;H403&amp;", "),G385&amp;" "&amp;H385&amp;" vs. "&amp;G403&amp;" "&amp;H403&amp;", "),"")</f>
        <v/>
      </c>
      <c r="J385" s="97">
        <f>Singles!H$8</f>
        <v>1</v>
      </c>
      <c r="K385" s="95" t="str">
        <f t="shared" si="228"/>
        <v>SR</v>
      </c>
      <c r="L385" s="95" t="str">
        <f t="shared" si="229"/>
        <v>0</v>
      </c>
      <c r="M385" s="95" t="str">
        <f t="shared" si="230"/>
        <v>0</v>
      </c>
      <c r="N385" s="95" t="str">
        <f t="shared" si="231"/>
        <v>0</v>
      </c>
      <c r="O385" s="95" t="str">
        <f t="shared" si="232"/>
        <v>0</v>
      </c>
      <c r="P385" s="95" t="str">
        <f t="shared" si="233"/>
        <v>0</v>
      </c>
      <c r="Q385" s="95">
        <f>IF(AND(G385=T$7,LEN(G385)&gt;1),1,0)</f>
        <v>0</v>
      </c>
      <c r="R385" s="97">
        <f>Singles!D$8</f>
        <v>6</v>
      </c>
      <c r="S385" s="95">
        <f>IF(AND(H385=H$7,LEN(H385)&gt;1,Q385=1),1,0)</f>
        <v>0</v>
      </c>
      <c r="T385" s="105">
        <f>SUM(Q380:Q395)</f>
        <v>0</v>
      </c>
      <c r="U385" s="97">
        <f>SUM(S380:S395)</f>
        <v>0</v>
      </c>
      <c r="V385" s="97">
        <f>VLOOKUP(6,X380:Y395,2,0)</f>
        <v>1</v>
      </c>
      <c r="X385" s="95">
        <f t="shared" si="234"/>
        <v>6</v>
      </c>
      <c r="Y385" s="95">
        <f t="shared" si="235"/>
        <v>1</v>
      </c>
      <c r="Z385" s="95">
        <f t="shared" si="236"/>
        <v>1</v>
      </c>
    </row>
    <row r="386" spans="1:26">
      <c r="A386" s="95">
        <v>7</v>
      </c>
      <c r="B386" s="95">
        <f>Singles!F119</f>
        <v>0</v>
      </c>
      <c r="C386" s="100" t="str">
        <f>IF(OR(LEFT(B386,LEN(B$8))=B$8,LEFT(B386,LEN(C$8))=C$8,LEN(B386)&lt;2),"","Wrong pick")</f>
        <v/>
      </c>
      <c r="D386" s="95">
        <f t="shared" ca="1" si="226"/>
        <v>0</v>
      </c>
      <c r="G386" s="95" t="str">
        <f>IF(B386=0,"",IF(LEFT(B386,LEN(B$8))=B$8,B$8,C$8))</f>
        <v/>
      </c>
      <c r="H386" s="95" t="str">
        <f t="shared" si="227"/>
        <v>0-0</v>
      </c>
      <c r="I386" s="95" t="str">
        <f ca="1">IF(AND(J386=Singles!$H$21,INDIRECT(ADDRESS(A386+1,6,1))=0,NOT(INDIRECT(ADDRESS(A386+1,5,1))="")),IF(D386=0,IF(H386=H404,"",G386&amp;" "&amp;H386&amp;" v "&amp;H404&amp;", "),G386&amp;" "&amp;H386&amp;" vs. "&amp;G404&amp;" "&amp;H404&amp;", "),"")</f>
        <v/>
      </c>
      <c r="J386" s="97">
        <f>Singles!H$9</f>
        <v>1</v>
      </c>
      <c r="K386" s="95" t="str">
        <f t="shared" si="228"/>
        <v>SR</v>
      </c>
      <c r="L386" s="95" t="str">
        <f t="shared" si="229"/>
        <v>0</v>
      </c>
      <c r="M386" s="95" t="str">
        <f t="shared" si="230"/>
        <v>0</v>
      </c>
      <c r="N386" s="95" t="str">
        <f t="shared" si="231"/>
        <v>0</v>
      </c>
      <c r="O386" s="95" t="str">
        <f t="shared" si="232"/>
        <v>0</v>
      </c>
      <c r="P386" s="95" t="str">
        <f t="shared" si="233"/>
        <v>0</v>
      </c>
      <c r="Q386" s="95">
        <f>IF(AND(G386=T$8,LEN(G386)&gt;1),1,0)</f>
        <v>0</v>
      </c>
      <c r="R386" s="97">
        <f>Singles!D$9</f>
        <v>7</v>
      </c>
      <c r="S386" s="95">
        <f>IF(AND(H386=H$8,LEN(H386)&gt;1,Q386=1),1,0)</f>
        <v>0</v>
      </c>
      <c r="T386" s="105">
        <f>SUM(Q398:Q413)</f>
        <v>0</v>
      </c>
      <c r="U386" s="97">
        <f>SUM(S398:S413)</f>
        <v>0</v>
      </c>
      <c r="V386" s="97">
        <f>VLOOKUP(7,X380:Y395,2,0)</f>
        <v>1</v>
      </c>
      <c r="X386" s="95">
        <f t="shared" si="234"/>
        <v>7</v>
      </c>
      <c r="Y386" s="95">
        <f t="shared" si="235"/>
        <v>1</v>
      </c>
      <c r="Z386" s="95">
        <f t="shared" si="236"/>
        <v>1</v>
      </c>
    </row>
    <row r="387" spans="1:26">
      <c r="A387" s="95">
        <v>8</v>
      </c>
      <c r="B387" s="95">
        <f>Singles!F120</f>
        <v>0</v>
      </c>
      <c r="C387" s="100" t="str">
        <f>IF(OR(LEFT(B387,LEN(B$9))=B$9,LEFT(B387,LEN(C$9))=C$9,LEN(B387)&lt;2),"","Wrong pick")</f>
        <v/>
      </c>
      <c r="D387" s="95">
        <f t="shared" ca="1" si="226"/>
        <v>0</v>
      </c>
      <c r="G387" s="95" t="str">
        <f>IF(B387=0,"",IF(LEFT(B387,LEN(B$9))=B$9,B$9,C$9))</f>
        <v/>
      </c>
      <c r="H387" s="95" t="str">
        <f t="shared" si="227"/>
        <v>0-0</v>
      </c>
      <c r="I387" s="95" t="str">
        <f ca="1">IF(AND(J387=Singles!$H$21,INDIRECT(ADDRESS(A387+1,6,1))=0,NOT(INDIRECT(ADDRESS(A387+1,5,1))="")),IF(D387=0,IF(H387=H405,"",G387&amp;" "&amp;H387&amp;" v "&amp;H405&amp;", "),G387&amp;" "&amp;H387&amp;" vs. "&amp;G405&amp;" "&amp;H405&amp;", "),"")</f>
        <v/>
      </c>
      <c r="J387" s="97">
        <f>Singles!H$10</f>
        <v>1</v>
      </c>
      <c r="K387" s="95" t="str">
        <f t="shared" si="228"/>
        <v>SR</v>
      </c>
      <c r="L387" s="95" t="str">
        <f t="shared" si="229"/>
        <v>0</v>
      </c>
      <c r="M387" s="95" t="str">
        <f t="shared" si="230"/>
        <v>0</v>
      </c>
      <c r="N387" s="95" t="str">
        <f t="shared" si="231"/>
        <v>0</v>
      </c>
      <c r="O387" s="95" t="str">
        <f t="shared" si="232"/>
        <v>0</v>
      </c>
      <c r="P387" s="95" t="str">
        <f t="shared" si="233"/>
        <v>0</v>
      </c>
      <c r="Q387" s="95">
        <f>IF(AND(G387=T$9,LEN(G387)&gt;1),1,0)</f>
        <v>0</v>
      </c>
      <c r="R387" s="97">
        <f>Singles!D$10</f>
        <v>8</v>
      </c>
      <c r="S387" s="95">
        <f>IF(AND(H387=H$9,LEN(H387)&gt;1,Q387=1),1,0)</f>
        <v>0</v>
      </c>
      <c r="V387" s="97">
        <f>VLOOKUP(8,X380:Y395,2,0)</f>
        <v>1</v>
      </c>
      <c r="X387" s="95">
        <f t="shared" si="234"/>
        <v>8</v>
      </c>
      <c r="Y387" s="95">
        <f t="shared" si="235"/>
        <v>1</v>
      </c>
      <c r="Z387" s="95">
        <f t="shared" si="236"/>
        <v>1</v>
      </c>
    </row>
    <row r="388" spans="1:26">
      <c r="A388" s="95">
        <v>9</v>
      </c>
      <c r="B388" s="95">
        <f>Singles!F121</f>
        <v>0</v>
      </c>
      <c r="C388" s="100" t="str">
        <f>IF(OR(LEFT(B388,LEN(B$10))=B$10,LEFT(B388,LEN(C$10))=C$10,LEN(B388)&lt;2),"","Wrong pick")</f>
        <v/>
      </c>
      <c r="D388" s="95">
        <f t="shared" ca="1" si="226"/>
        <v>0</v>
      </c>
      <c r="G388" s="95" t="str">
        <f>IF(B388=0,"",IF(LEFT(B388,LEN(B$10))=B$10,B$10,C$10))</f>
        <v/>
      </c>
      <c r="H388" s="95" t="str">
        <f t="shared" si="227"/>
        <v>0-0</v>
      </c>
      <c r="I388" s="95" t="str">
        <f ca="1">IF(AND(J388=Singles!$H$21,INDIRECT(ADDRESS(A388+1,6,1))=0,NOT(INDIRECT(ADDRESS(A388+1,5,1))="")),IF(D388=0,IF(H388=H406,"",G388&amp;" "&amp;H388&amp;" v "&amp;H406&amp;", "),G388&amp;" "&amp;H388&amp;" vs. "&amp;G406&amp;" "&amp;H406&amp;", "),"")</f>
        <v/>
      </c>
      <c r="J388" s="97">
        <f>Singles!H$11</f>
        <v>1</v>
      </c>
      <c r="K388" s="95" t="str">
        <f t="shared" si="228"/>
        <v>SR</v>
      </c>
      <c r="L388" s="95" t="str">
        <f t="shared" si="229"/>
        <v>0</v>
      </c>
      <c r="M388" s="95" t="str">
        <f t="shared" si="230"/>
        <v>0</v>
      </c>
      <c r="N388" s="95" t="str">
        <f t="shared" si="231"/>
        <v>0</v>
      </c>
      <c r="O388" s="95" t="str">
        <f t="shared" si="232"/>
        <v>0</v>
      </c>
      <c r="P388" s="95" t="str">
        <f t="shared" si="233"/>
        <v>0</v>
      </c>
      <c r="Q388" s="95">
        <f>IF(AND(G388=T$10,LEN(G388)&gt;1),1,0)</f>
        <v>0</v>
      </c>
      <c r="R388" s="97">
        <f>Singles!D$11</f>
        <v>9</v>
      </c>
      <c r="S388" s="95">
        <f>IF(AND(H388=H$10,LEN(H388)&gt;1,Q388=1),1,0)</f>
        <v>0</v>
      </c>
      <c r="T388" s="95" t="str">
        <f>VLOOKUP("Winner",T398:U414,2,0)</f>
        <v>Tied; see PTS</v>
      </c>
      <c r="U388" s="95">
        <f>VLOOKUP(T388,U398:W414,3,0)</f>
        <v>17</v>
      </c>
      <c r="V388" s="97">
        <f>VLOOKUP(9,X380:Y395,2,0)</f>
        <v>1</v>
      </c>
      <c r="X388" s="95">
        <f t="shared" si="234"/>
        <v>9</v>
      </c>
      <c r="Y388" s="95">
        <f t="shared" si="235"/>
        <v>1</v>
      </c>
      <c r="Z388" s="95">
        <f t="shared" si="236"/>
        <v>1</v>
      </c>
    </row>
    <row r="389" spans="1:26">
      <c r="A389" s="95">
        <v>10</v>
      </c>
      <c r="B389" s="95">
        <f>Singles!F122</f>
        <v>0</v>
      </c>
      <c r="C389" s="100" t="str">
        <f>IF(OR(LEFT(B389,LEN(B$11))=B$11,LEFT(B389,LEN(C$11))=C$11,LEN(B389)&lt;2),"","Wrong pick")</f>
        <v/>
      </c>
      <c r="D389" s="95">
        <f t="shared" ca="1" si="226"/>
        <v>0</v>
      </c>
      <c r="G389" s="95" t="str">
        <f>IF(B389=0,"",IF(LEFT(B389,LEN(B$11))=B$11,B$11,C$11))</f>
        <v/>
      </c>
      <c r="H389" s="95" t="str">
        <f t="shared" si="227"/>
        <v>0-0</v>
      </c>
      <c r="I389" s="95" t="str">
        <f ca="1">IF(AND(J389=Singles!$H$21,INDIRECT(ADDRESS(A389+1,6,1))=0,NOT(INDIRECT(ADDRESS(A389+1,5,1))="")),IF(D389=0,IF(H389=H407,"",G389&amp;" "&amp;H389&amp;" v "&amp;H407&amp;", "),G389&amp;" "&amp;H389&amp;" vs. "&amp;G407&amp;" "&amp;H407&amp;", "),"")</f>
        <v/>
      </c>
      <c r="J389" s="97">
        <f>Singles!H$12</f>
        <v>1</v>
      </c>
      <c r="K389" s="95" t="str">
        <f t="shared" si="228"/>
        <v>SR</v>
      </c>
      <c r="L389" s="95" t="str">
        <f t="shared" si="229"/>
        <v>0</v>
      </c>
      <c r="M389" s="95" t="str">
        <f t="shared" si="230"/>
        <v>0</v>
      </c>
      <c r="N389" s="95" t="str">
        <f t="shared" si="231"/>
        <v>0</v>
      </c>
      <c r="O389" s="95" t="str">
        <f t="shared" si="232"/>
        <v>0</v>
      </c>
      <c r="P389" s="95" t="str">
        <f t="shared" si="233"/>
        <v>0</v>
      </c>
      <c r="Q389" s="95">
        <f>IF(AND(G389=T$11,LEN(G389)&gt;1),1,0)</f>
        <v>0</v>
      </c>
      <c r="R389" s="97">
        <f>Singles!D$12</f>
        <v>10</v>
      </c>
      <c r="S389" s="95">
        <f>IF(AND(H389=H$11,LEN(H389)&gt;1,Q389=1),1,0)</f>
        <v>0</v>
      </c>
      <c r="V389" s="97">
        <f>VLOOKUP(10,X380:Y395,2,0)</f>
        <v>1</v>
      </c>
      <c r="X389" s="95">
        <f t="shared" si="234"/>
        <v>10</v>
      </c>
      <c r="Y389" s="95">
        <f t="shared" si="235"/>
        <v>1</v>
      </c>
      <c r="Z389" s="95">
        <f t="shared" si="236"/>
        <v>1</v>
      </c>
    </row>
    <row r="390" spans="1:26">
      <c r="A390" s="95">
        <v>11</v>
      </c>
      <c r="B390" s="95">
        <f>Singles!F123</f>
        <v>0</v>
      </c>
      <c r="C390" s="100" t="str">
        <f>IF(OR(LEFT(B390,LEN(B$12))=B$12,LEFT(B390,LEN(C$12))=C$12,LEN(B390)&lt;2),"","Wrong pick")</f>
        <v/>
      </c>
      <c r="D390" s="95">
        <f t="shared" ca="1" si="226"/>
        <v>0</v>
      </c>
      <c r="G390" s="95" t="str">
        <f>IF(B390=0,"",IF(LEFT(B390,LEN(B$12))=B$12,B$12,C$12))</f>
        <v/>
      </c>
      <c r="H390" s="95" t="str">
        <f t="shared" si="227"/>
        <v>0-0</v>
      </c>
      <c r="I390" s="95" t="str">
        <f ca="1">IF(AND(J390=Singles!$H$21,INDIRECT(ADDRESS(A390+1,6,1))=0,NOT(INDIRECT(ADDRESS(A390+1,5,1))="")),IF(D390=0,IF(H390=H408,"",G390&amp;" "&amp;H390&amp;" v "&amp;H408&amp;", "),G390&amp;" "&amp;H390&amp;" vs. "&amp;G408&amp;" "&amp;H408&amp;", "),"")</f>
        <v/>
      </c>
      <c r="J390" s="97">
        <f>Singles!H$13</f>
        <v>1</v>
      </c>
      <c r="K390" s="95" t="str">
        <f t="shared" si="228"/>
        <v>SR</v>
      </c>
      <c r="L390" s="95" t="str">
        <f t="shared" si="229"/>
        <v>0</v>
      </c>
      <c r="M390" s="95" t="str">
        <f t="shared" si="230"/>
        <v>0</v>
      </c>
      <c r="N390" s="95" t="str">
        <f t="shared" si="231"/>
        <v>0</v>
      </c>
      <c r="O390" s="95" t="str">
        <f t="shared" si="232"/>
        <v>0</v>
      </c>
      <c r="P390" s="95" t="str">
        <f t="shared" si="233"/>
        <v>0</v>
      </c>
      <c r="Q390" s="95">
        <f>IF(AND(G390=T$12,LEN(G390)&gt;1),1,0)</f>
        <v>0</v>
      </c>
      <c r="R390" s="97">
        <f>Singles!D$13</f>
        <v>11</v>
      </c>
      <c r="S390" s="95">
        <f>IF(AND(H390=H$12,LEN(H390)&gt;1,Q390=1),1,0)</f>
        <v>0</v>
      </c>
      <c r="V390" s="97">
        <f>VLOOKUP(11,X380:Y395,2,0)</f>
        <v>1</v>
      </c>
      <c r="X390" s="95">
        <f t="shared" si="234"/>
        <v>11</v>
      </c>
      <c r="Y390" s="95">
        <f t="shared" si="235"/>
        <v>1</v>
      </c>
      <c r="Z390" s="95">
        <f t="shared" si="236"/>
        <v>1</v>
      </c>
    </row>
    <row r="391" spans="1:26">
      <c r="A391" s="95">
        <v>12</v>
      </c>
      <c r="B391" s="95">
        <f>Singles!F124</f>
        <v>0</v>
      </c>
      <c r="C391" s="100" t="str">
        <f>IF(OR(LEFT(B391,LEN(B$13))=B$13,LEFT(B391,LEN(C$13))=C$13,LEN(B391)&lt;2),"","Wrong pick")</f>
        <v/>
      </c>
      <c r="D391" s="95">
        <f t="shared" ca="1" si="226"/>
        <v>0</v>
      </c>
      <c r="G391" s="95" t="str">
        <f>IF(B391=0,"",IF(LEFT(B391,LEN(B$13))=B$13,B$13,C$13))</f>
        <v/>
      </c>
      <c r="H391" s="95" t="str">
        <f t="shared" si="227"/>
        <v>0-0</v>
      </c>
      <c r="I391" s="95" t="str">
        <f ca="1">IF(AND(J391=Singles!$H$21,INDIRECT(ADDRESS(A391+1,6,1))=0,NOT(INDIRECT(ADDRESS(A391+1,5,1))="")),IF(D391=0,IF(H391=H409,"",G391&amp;" "&amp;H391&amp;" v "&amp;H409&amp;", "),G391&amp;" "&amp;H391&amp;" vs. "&amp;G409&amp;" "&amp;H409&amp;", "),"")</f>
        <v/>
      </c>
      <c r="J391" s="97">
        <f>Singles!H$14</f>
        <v>1</v>
      </c>
      <c r="K391" s="95" t="str">
        <f t="shared" si="228"/>
        <v>SR</v>
      </c>
      <c r="L391" s="95" t="str">
        <f t="shared" si="229"/>
        <v>0</v>
      </c>
      <c r="M391" s="95" t="str">
        <f t="shared" si="230"/>
        <v>0</v>
      </c>
      <c r="N391" s="95" t="str">
        <f t="shared" si="231"/>
        <v>0</v>
      </c>
      <c r="O391" s="95" t="str">
        <f t="shared" si="232"/>
        <v>0</v>
      </c>
      <c r="P391" s="95" t="str">
        <f t="shared" si="233"/>
        <v>0</v>
      </c>
      <c r="Q391" s="95">
        <f>IF(AND(G391=T$13,LEN(G391)&gt;1),1,0)</f>
        <v>0</v>
      </c>
      <c r="R391" s="97">
        <f>Singles!D$14</f>
        <v>12</v>
      </c>
      <c r="S391" s="95">
        <f>IF(AND(H391=H$13,LEN(H391)&gt;1,Q391=1),1,0)</f>
        <v>0</v>
      </c>
      <c r="V391" s="97">
        <f>VLOOKUP(12,X380:Y395,2,0)</f>
        <v>1</v>
      </c>
      <c r="X391" s="95">
        <f t="shared" si="234"/>
        <v>12</v>
      </c>
      <c r="Y391" s="95">
        <f t="shared" si="235"/>
        <v>1</v>
      </c>
      <c r="Z391" s="95">
        <f t="shared" si="236"/>
        <v>1</v>
      </c>
    </row>
    <row r="392" spans="1:26">
      <c r="A392" s="95">
        <v>13</v>
      </c>
      <c r="B392" s="95">
        <f>Singles!F125</f>
        <v>0</v>
      </c>
      <c r="C392" s="100" t="str">
        <f>IF(OR(LEFT(B392,LEN(B$14))=B$14,LEFT(B392,LEN(C$14))=C$14,LEN(B392)&lt;2),"","Wrong pick")</f>
        <v/>
      </c>
      <c r="D392" s="95">
        <f t="shared" ca="1" si="226"/>
        <v>0</v>
      </c>
      <c r="G392" s="95" t="str">
        <f>IF(B392=0,"",IF(LEFT(B392,LEN(B$14))=B$14,B$14,C$14))</f>
        <v/>
      </c>
      <c r="H392" s="95" t="str">
        <f t="shared" si="227"/>
        <v>0-0</v>
      </c>
      <c r="I392" s="95" t="str">
        <f ca="1">IF(AND(J392=Singles!$H$21,INDIRECT(ADDRESS(A392+1,6,1))=0,NOT(INDIRECT(ADDRESS(A392+1,5,1))="")),IF(D392=0,IF(H392=H410,"",G392&amp;" "&amp;H392&amp;" v "&amp;H410&amp;", "),G392&amp;" "&amp;H392&amp;" vs. "&amp;G410&amp;" "&amp;H410&amp;", "),"")</f>
        <v/>
      </c>
      <c r="J392" s="97">
        <f>Singles!H$15</f>
        <v>1</v>
      </c>
      <c r="K392" s="95" t="str">
        <f t="shared" si="228"/>
        <v>SR</v>
      </c>
      <c r="L392" s="95" t="str">
        <f t="shared" si="229"/>
        <v>0</v>
      </c>
      <c r="M392" s="95" t="str">
        <f t="shared" si="230"/>
        <v>0</v>
      </c>
      <c r="N392" s="95" t="str">
        <f t="shared" si="231"/>
        <v>0</v>
      </c>
      <c r="O392" s="95" t="str">
        <f t="shared" si="232"/>
        <v>0</v>
      </c>
      <c r="P392" s="95" t="str">
        <f t="shared" si="233"/>
        <v>0</v>
      </c>
      <c r="Q392" s="95">
        <f>IF(AND(G392=T$14,LEN(G392)&gt;1),1,0)</f>
        <v>0</v>
      </c>
      <c r="R392" s="97">
        <f>Singles!D$15</f>
        <v>13</v>
      </c>
      <c r="S392" s="95">
        <f>IF(AND(H392=H$14,LEN(H392)&gt;1,Q392=1),1,0)</f>
        <v>0</v>
      </c>
      <c r="V392" s="97">
        <f>VLOOKUP(13,X380:Y395,2,0)</f>
        <v>1</v>
      </c>
      <c r="X392" s="95">
        <f t="shared" si="234"/>
        <v>13</v>
      </c>
      <c r="Y392" s="95">
        <f t="shared" si="235"/>
        <v>1</v>
      </c>
      <c r="Z392" s="95">
        <f t="shared" si="236"/>
        <v>1</v>
      </c>
    </row>
    <row r="393" spans="1:26">
      <c r="A393" s="95">
        <v>14</v>
      </c>
      <c r="B393" s="95">
        <f>Singles!F126</f>
        <v>0</v>
      </c>
      <c r="C393" s="100" t="str">
        <f>IF(OR(LEFT(B393,LEN(B$15))=B$15,LEFT(B393,LEN(C$15))=C$15,LEN(B393)&lt;2),"","Wrong pick")</f>
        <v/>
      </c>
      <c r="D393" s="95">
        <f t="shared" ca="1" si="226"/>
        <v>0</v>
      </c>
      <c r="G393" s="95" t="str">
        <f>IF(B393=0,"",IF(LEFT(B393,LEN(B$15))=B$15,B$15,C$15))</f>
        <v/>
      </c>
      <c r="H393" s="95" t="str">
        <f t="shared" si="227"/>
        <v>0-0</v>
      </c>
      <c r="I393" s="95" t="str">
        <f ca="1">IF(AND(J393=Singles!$H$21,INDIRECT(ADDRESS(A393+1,6,1))=0,NOT(INDIRECT(ADDRESS(A393+1,5,1))="")),IF(D393=0,IF(H393=H411,"",G393&amp;" "&amp;H393&amp;" v "&amp;H411&amp;", "),G393&amp;" "&amp;H393&amp;" vs. "&amp;G411&amp;" "&amp;H411&amp;", "),"")</f>
        <v/>
      </c>
      <c r="J393" s="97">
        <f>Singles!H$16</f>
        <v>1</v>
      </c>
      <c r="K393" s="95" t="str">
        <f t="shared" si="228"/>
        <v>SR</v>
      </c>
      <c r="L393" s="95" t="str">
        <f t="shared" si="229"/>
        <v>0</v>
      </c>
      <c r="M393" s="95" t="str">
        <f t="shared" si="230"/>
        <v>0</v>
      </c>
      <c r="N393" s="95" t="str">
        <f t="shared" si="231"/>
        <v>0</v>
      </c>
      <c r="O393" s="95" t="str">
        <f t="shared" si="232"/>
        <v>0</v>
      </c>
      <c r="P393" s="95" t="str">
        <f t="shared" si="233"/>
        <v>0</v>
      </c>
      <c r="Q393" s="95">
        <f>IF(AND(G393=T$15,LEN(G393)&gt;1),1,0)</f>
        <v>0</v>
      </c>
      <c r="R393" s="97">
        <f>Singles!D$16</f>
        <v>14</v>
      </c>
      <c r="S393" s="95">
        <f>IF(AND(H393=H$15,LEN(H393)&gt;1,Q393=1),1,0)</f>
        <v>0</v>
      </c>
      <c r="V393" s="97">
        <f>VLOOKUP(14,X380:Y395,2,0)</f>
        <v>1</v>
      </c>
      <c r="X393" s="95">
        <f t="shared" si="234"/>
        <v>14</v>
      </c>
      <c r="Y393" s="95">
        <f t="shared" si="235"/>
        <v>1</v>
      </c>
      <c r="Z393" s="95">
        <f t="shared" si="236"/>
        <v>1</v>
      </c>
    </row>
    <row r="394" spans="1:26">
      <c r="A394" s="95">
        <v>15</v>
      </c>
      <c r="B394" s="95">
        <f>Singles!F127</f>
        <v>0</v>
      </c>
      <c r="C394" s="100" t="str">
        <f>IF(OR(LEFT(B394,LEN(B$16))=B$16,LEFT(B394,LEN(C$16))=C$16,LEN(B394)&lt;2),"","Wrong pick")</f>
        <v/>
      </c>
      <c r="D394" s="95">
        <f t="shared" ca="1" si="226"/>
        <v>0</v>
      </c>
      <c r="G394" s="95" t="str">
        <f>IF(B394=0,"",IF(LEFT(B394,LEN(B$16))=B$16,B$16,C$16))</f>
        <v/>
      </c>
      <c r="H394" s="95" t="str">
        <f t="shared" si="227"/>
        <v>0-0</v>
      </c>
      <c r="I394" s="95" t="str">
        <f ca="1">IF(AND(J394=Singles!$H$21,INDIRECT(ADDRESS(A394+1,6,1))=0,NOT(INDIRECT(ADDRESS(A394+1,5,1))="")),IF(D394=0,IF(H394=H412,"",G394&amp;" "&amp;H394&amp;" v "&amp;H412&amp;", "),G394&amp;" "&amp;H394&amp;" vs. "&amp;G412&amp;" "&amp;H412&amp;", "),"")</f>
        <v/>
      </c>
      <c r="J394" s="97">
        <f>Singles!H$17</f>
        <v>1</v>
      </c>
      <c r="K394" s="95" t="str">
        <f t="shared" si="228"/>
        <v>SR</v>
      </c>
      <c r="L394" s="95" t="str">
        <f t="shared" si="229"/>
        <v>0</v>
      </c>
      <c r="M394" s="95" t="str">
        <f t="shared" si="230"/>
        <v>0</v>
      </c>
      <c r="N394" s="95" t="str">
        <f t="shared" si="231"/>
        <v>0</v>
      </c>
      <c r="O394" s="95" t="str">
        <f t="shared" si="232"/>
        <v>0</v>
      </c>
      <c r="P394" s="95" t="str">
        <f t="shared" si="233"/>
        <v>0</v>
      </c>
      <c r="Q394" s="95">
        <f>IF(AND(G394=T$16,LEN(G394)&gt;1),1,0)</f>
        <v>0</v>
      </c>
      <c r="R394" s="97">
        <f>Singles!D$17</f>
        <v>15</v>
      </c>
      <c r="S394" s="95">
        <f>IF(AND(H394=H$16,LEN(H394)&gt;1,Q394=1),1,0)</f>
        <v>0</v>
      </c>
      <c r="V394" s="97">
        <f>VLOOKUP(15,X380:Y395,2,0)</f>
        <v>1</v>
      </c>
      <c r="X394" s="95">
        <f t="shared" si="234"/>
        <v>15</v>
      </c>
      <c r="Y394" s="95">
        <f t="shared" si="235"/>
        <v>1</v>
      </c>
      <c r="Z394" s="95">
        <f t="shared" si="236"/>
        <v>1</v>
      </c>
    </row>
    <row r="395" spans="1:26">
      <c r="A395" s="95">
        <v>16</v>
      </c>
      <c r="B395" s="95">
        <f>Singles!F128</f>
        <v>0</v>
      </c>
      <c r="C395" s="100" t="str">
        <f>IF(OR(LEFT(B395,LEN(B$17))=B$17,LEFT(B395,LEN(C$17))=C$17,LEN(B395)&lt;2),"","Wrong pick")</f>
        <v/>
      </c>
      <c r="D395" s="95">
        <f t="shared" ca="1" si="226"/>
        <v>0</v>
      </c>
      <c r="G395" s="95" t="str">
        <f>IF(B395=0,"",IF(LEFT(B395,LEN(B$17))=B$17,B$17,C$17))</f>
        <v/>
      </c>
      <c r="H395" s="95" t="str">
        <f t="shared" si="227"/>
        <v>0-0</v>
      </c>
      <c r="I395" s="95" t="str">
        <f ca="1">IF(AND(J395=Singles!$H$21,INDIRECT(ADDRESS(A395+1,6,1))=0,NOT(INDIRECT(ADDRESS(A395+1,5,1))="")),IF(D395=0,IF(H395=H413,"",G395&amp;" "&amp;H395&amp;" v "&amp;H413&amp;", "),G395&amp;" "&amp;H395&amp;" vs. "&amp;G413&amp;" "&amp;H413&amp;", "),"")</f>
        <v/>
      </c>
      <c r="J395" s="97">
        <f>Singles!H$18</f>
        <v>1</v>
      </c>
      <c r="K395" s="95" t="str">
        <f t="shared" si="228"/>
        <v>SR</v>
      </c>
      <c r="L395" s="95" t="str">
        <f t="shared" si="229"/>
        <v>0</v>
      </c>
      <c r="M395" s="95" t="str">
        <f t="shared" si="230"/>
        <v>0</v>
      </c>
      <c r="N395" s="95" t="str">
        <f t="shared" si="231"/>
        <v>0</v>
      </c>
      <c r="O395" s="95" t="str">
        <f t="shared" si="232"/>
        <v>0</v>
      </c>
      <c r="P395" s="95" t="str">
        <f t="shared" si="233"/>
        <v>0</v>
      </c>
      <c r="Q395" s="95">
        <f>IF(AND(G395=T$17,LEN(G395)&gt;1),1,0)</f>
        <v>0</v>
      </c>
      <c r="R395" s="97">
        <f>Singles!D$18</f>
        <v>16</v>
      </c>
      <c r="S395" s="95">
        <f>IF(AND(H395=H$17,LEN(H395)&gt;1,Q395=1),1,0)</f>
        <v>0</v>
      </c>
      <c r="V395" s="97">
        <f>VLOOKUP(16,X380:Y395,2,0)</f>
        <v>1</v>
      </c>
      <c r="X395" s="95">
        <f t="shared" si="234"/>
        <v>16</v>
      </c>
      <c r="Y395" s="95">
        <f t="shared" si="235"/>
        <v>1</v>
      </c>
      <c r="Z395" s="95">
        <f t="shared" si="236"/>
        <v>1</v>
      </c>
    </row>
    <row r="397" spans="1:26">
      <c r="A397" s="95" t="e">
        <f>IF(LEN(VLOOKUP(B397,Singles!$A$2:$B$33,2,0))&gt;0,VLOOKUP(B397,Singles!$A$2:$B$33,2,0),"")</f>
        <v>#N/A</v>
      </c>
      <c r="B397" s="96">
        <f>Singles!G112</f>
        <v>0</v>
      </c>
      <c r="C397" s="96">
        <v>22</v>
      </c>
      <c r="D397" s="95" t="e">
        <f>VLOOKUP(B397,Singles!$A$2:$C$33,3,0)</f>
        <v>#N/A</v>
      </c>
      <c r="J397" s="95" t="s">
        <v>88</v>
      </c>
      <c r="Q397" s="95" t="s">
        <v>121</v>
      </c>
      <c r="S397" s="95" t="s">
        <v>122</v>
      </c>
      <c r="T397" s="95" t="e">
        <f>IF(LEN(A397)&gt;0,"("&amp;A397&amp;") "&amp;B397,B397)&amp;IF(LEN(D397)&gt;1," ("&amp;D397&amp;")","")</f>
        <v>#N/A</v>
      </c>
      <c r="V397" s="95" t="s">
        <v>123</v>
      </c>
      <c r="Y397" s="95" t="s">
        <v>123</v>
      </c>
    </row>
    <row r="398" spans="1:26">
      <c r="A398" s="95">
        <v>1</v>
      </c>
      <c r="B398" s="95">
        <f>Singles!G113</f>
        <v>0</v>
      </c>
      <c r="C398" s="99" t="str">
        <f>IF(OR(LEFT(B398,LEN(B$2))=B$2,LEFT(B398,LEN(C$2))=C$2,LEN(B398)&lt;2),"","Wrong pick")</f>
        <v/>
      </c>
      <c r="E398" s="95" t="str">
        <f ca="1">IF(AND(D380=1,J398=$I$2),G398&amp;", ","")&amp;IF(AND(D381=1,J399=$I$2),G399&amp;", ","")&amp;IF(AND(D382=1,J400=$I$2),G400&amp;", ","")&amp;IF(AND(D383=1,J401=$I$2),G401&amp;", ","")&amp;IF(AND(D384=1,J402=$I$2),G402&amp;", ","")&amp;IF(AND(D385=1,J403=$I$2),G403&amp;", ","")&amp;IF(AND(D386=1,J404=$I$2),G404&amp;", ","")&amp;IF(AND(D387=1,J405=$I$2),G405&amp;", ","")&amp;IF(AND(D388=1,J406=$I$2),G406&amp;", ","")&amp;IF(AND(D389=1,J407=$I$2),G407&amp;", ","")&amp;IF(AND(D390=1,J408=$I$2),G408&amp;", ","")&amp;IF(AND(D391=1,J409=$I$2),G409&amp;", ","")&amp;IF(AND(D392=1,J410=$I$2),G410&amp;", ","")&amp;IF(AND(D393=1,J411=$I$2),G411&amp;", ","")&amp;IF(AND(D394=1,J412=$I$2),G412&amp;", ","")&amp;IF(AND(D395=1,J413=$I$2),G413&amp;", ","")</f>
        <v/>
      </c>
      <c r="F398" s="95" t="str">
        <f>IF(AND(SUM(Z398:Z413)=$I$4,NOT(B397="Bye")),"Missing picks from "&amp;B397&amp;" ","")</f>
        <v xml:space="preserve">Missing picks from 0 </v>
      </c>
      <c r="G398" s="95" t="str">
        <f>IF(B398=0,"",IF(LEFT(B398,LEN(B$2))=B$2,B$2,C$2))</f>
        <v/>
      </c>
      <c r="H398" s="95" t="str">
        <f t="shared" ref="H398:H413" si="237">IF(L398="","",IF(K398="PTS",IF(LEN(O398)&lt;8,"2-0","2-1"),LEFT(O398,1)&amp;"-"&amp;RIGHT(O398,1)))</f>
        <v>0-0</v>
      </c>
      <c r="J398" s="97">
        <f>Singles!H$3</f>
        <v>1</v>
      </c>
      <c r="K398" s="95" t="str">
        <f t="shared" ref="K398:K413" si="238">IF(LEN(L398)&gt;0,IF(LEN(O398)&lt;4,"SR","PTS"),"")</f>
        <v>SR</v>
      </c>
      <c r="L398" s="95" t="str">
        <f t="shared" ref="L398:L413" si="239">TRIM(RIGHT(B398,LEN(B398)-LEN(G398)))</f>
        <v>0</v>
      </c>
      <c r="M398" s="95" t="str">
        <f t="shared" ref="M398:M413" si="240">SUBSTITUTE(L398,"-","")</f>
        <v>0</v>
      </c>
      <c r="N398" s="95" t="str">
        <f t="shared" ref="N398:N413" si="241">SUBSTITUTE(M398,","," ")</f>
        <v>0</v>
      </c>
      <c r="O398" s="95" t="str">
        <f t="shared" ref="O398:O413" si="242">IF(AND(LEN(TRIM(SUBSTITUTE(P398,"/","")))&gt;6,OR(LEFT(TRIM(SUBSTITUTE(P398,"/","")),2)="20",LEFT(TRIM(SUBSTITUTE(P398,"/","")),2)="21")),RIGHT(TRIM(SUBSTITUTE(P398,"/","")),LEN(TRIM(SUBSTITUTE(P398,"/","")))-3),TRIM(SUBSTITUTE(P398,"/","")))</f>
        <v>0</v>
      </c>
      <c r="P398" s="95" t="str">
        <f t="shared" ref="P398:P413" si="243">SUBSTITUTE(N398,":","")</f>
        <v>0</v>
      </c>
      <c r="Q398" s="95">
        <f>IF(AND(G398=T$2,LEN(G398)&gt;1),1,0)</f>
        <v>0</v>
      </c>
      <c r="R398" s="97">
        <f>Singles!D$3</f>
        <v>1</v>
      </c>
      <c r="S398" s="95">
        <f>IF(AND(H398=H$2,LEN(H398)&gt;1,Q398=1),1,0)</f>
        <v>0</v>
      </c>
      <c r="T398" s="95" t="str">
        <f t="shared" ref="T398:T413" si="244">IF(V380=V398,"No","Winner")</f>
        <v>No</v>
      </c>
      <c r="U398" s="95" t="str">
        <f>IF(T398="Winner",IF(V398&gt;V380,B397,B379),"")</f>
        <v/>
      </c>
      <c r="V398" s="97">
        <f>VLOOKUP(1,X398:Y413,2,0)</f>
        <v>1</v>
      </c>
      <c r="W398" s="95">
        <v>1</v>
      </c>
      <c r="X398" s="95">
        <f t="shared" ref="X398:X413" si="245">R398</f>
        <v>1</v>
      </c>
      <c r="Y398" s="95">
        <f t="shared" ref="Y398:Y413" si="246">IF(Q398=1,IF(S398=1,4,3),IF(H398="2-1",2,1))</f>
        <v>1</v>
      </c>
      <c r="Z398" s="95">
        <f t="shared" ref="Z398:Z413" si="247">IF(AND($I$2=J398,B398=0),1,0)</f>
        <v>1</v>
      </c>
    </row>
    <row r="399" spans="1:26">
      <c r="A399" s="95">
        <v>2</v>
      </c>
      <c r="B399" s="95">
        <f>Singles!G114</f>
        <v>0</v>
      </c>
      <c r="C399" s="100" t="str">
        <f>IF(OR(LEFT(B399,LEN(B$3))=B$3,LEFT(B399,LEN(C$3))=C$3,LEN(B399)&lt;2),"","Wrong pick")</f>
        <v/>
      </c>
      <c r="G399" s="95" t="str">
        <f>IF(B399=0,"",IF(LEFT(B399,LEN(B$3))=B$3,B$3,C$3))</f>
        <v/>
      </c>
      <c r="H399" s="95" t="str">
        <f t="shared" si="237"/>
        <v>0-0</v>
      </c>
      <c r="J399" s="97">
        <f>Singles!H$4</f>
        <v>1</v>
      </c>
      <c r="K399" s="95" t="str">
        <f t="shared" si="238"/>
        <v>SR</v>
      </c>
      <c r="L399" s="95" t="str">
        <f t="shared" si="239"/>
        <v>0</v>
      </c>
      <c r="M399" s="95" t="str">
        <f t="shared" si="240"/>
        <v>0</v>
      </c>
      <c r="N399" s="95" t="str">
        <f t="shared" si="241"/>
        <v>0</v>
      </c>
      <c r="O399" s="95" t="str">
        <f t="shared" si="242"/>
        <v>0</v>
      </c>
      <c r="P399" s="95" t="str">
        <f t="shared" si="243"/>
        <v>0</v>
      </c>
      <c r="Q399" s="95">
        <f>IF(AND(G399=T$3,LEN(G399)&gt;1),1,0)</f>
        <v>0</v>
      </c>
      <c r="R399" s="97">
        <f>Singles!D$4</f>
        <v>2</v>
      </c>
      <c r="S399" s="95">
        <f>IF(AND(H399=H$3,LEN(H399)&gt;1,Q399=1),1,0)</f>
        <v>0</v>
      </c>
      <c r="T399" s="95" t="str">
        <f t="shared" si="244"/>
        <v>No</v>
      </c>
      <c r="U399" s="95" t="str">
        <f>IF(T399="Winner",IF(V399&gt;V381,B397,B379),"")</f>
        <v/>
      </c>
      <c r="V399" s="97">
        <f>VLOOKUP(2,X398:Y413,2,0)</f>
        <v>1</v>
      </c>
      <c r="W399" s="95">
        <v>2</v>
      </c>
      <c r="X399" s="95">
        <f t="shared" si="245"/>
        <v>2</v>
      </c>
      <c r="Y399" s="95">
        <f t="shared" si="246"/>
        <v>1</v>
      </c>
      <c r="Z399" s="95">
        <f t="shared" si="247"/>
        <v>1</v>
      </c>
    </row>
    <row r="400" spans="1:26">
      <c r="A400" s="95">
        <v>3</v>
      </c>
      <c r="B400" s="95">
        <f>Singles!G115</f>
        <v>0</v>
      </c>
      <c r="C400" s="100" t="str">
        <f>IF(OR(LEFT(B400,LEN(B$4))=B$4,LEFT(B400,LEN(C$4))=C$4,LEN(B400)&lt;2),"","Wrong pick")</f>
        <v/>
      </c>
      <c r="G400" s="95" t="str">
        <f>IF(B400=0,"",IF(LEFT(B400,LEN(B$4))=B$4,B$4,C$4))</f>
        <v/>
      </c>
      <c r="H400" s="95" t="str">
        <f t="shared" si="237"/>
        <v>0-0</v>
      </c>
      <c r="J400" s="97">
        <f>Singles!H$5</f>
        <v>1</v>
      </c>
      <c r="K400" s="95" t="str">
        <f t="shared" si="238"/>
        <v>SR</v>
      </c>
      <c r="L400" s="95" t="str">
        <f t="shared" si="239"/>
        <v>0</v>
      </c>
      <c r="M400" s="95" t="str">
        <f t="shared" si="240"/>
        <v>0</v>
      </c>
      <c r="N400" s="95" t="str">
        <f t="shared" si="241"/>
        <v>0</v>
      </c>
      <c r="O400" s="95" t="str">
        <f t="shared" si="242"/>
        <v>0</v>
      </c>
      <c r="P400" s="95" t="str">
        <f t="shared" si="243"/>
        <v>0</v>
      </c>
      <c r="Q400" s="95">
        <f>IF(AND(G400=T$4,LEN(G400)&gt;1),1,0)</f>
        <v>0</v>
      </c>
      <c r="R400" s="97">
        <f>Singles!D$5</f>
        <v>3</v>
      </c>
      <c r="S400" s="95">
        <f>IF(AND(H400=H$4,LEN(H400)&gt;1,Q400=1),1,0)</f>
        <v>0</v>
      </c>
      <c r="T400" s="95" t="str">
        <f t="shared" si="244"/>
        <v>No</v>
      </c>
      <c r="U400" s="95" t="str">
        <f>IF(T400="Winner",IF(V400&gt;V382,B397,B379),"")</f>
        <v/>
      </c>
      <c r="V400" s="97">
        <f>VLOOKUP(3,X398:Y413,2,0)</f>
        <v>1</v>
      </c>
      <c r="W400" s="95">
        <v>3</v>
      </c>
      <c r="X400" s="95">
        <f t="shared" si="245"/>
        <v>3</v>
      </c>
      <c r="Y400" s="95">
        <f t="shared" si="246"/>
        <v>1</v>
      </c>
      <c r="Z400" s="95">
        <f t="shared" si="247"/>
        <v>1</v>
      </c>
    </row>
    <row r="401" spans="1:26">
      <c r="A401" s="95">
        <v>4</v>
      </c>
      <c r="B401" s="95">
        <f>Singles!G116</f>
        <v>0</v>
      </c>
      <c r="C401" s="100" t="str">
        <f>IF(OR(LEFT(B401,LEN(B$5))=B$5,LEFT(B401,LEN(C$5))=C$5,LEN(B401)&lt;2),"","Wrong pick")</f>
        <v/>
      </c>
      <c r="G401" s="95" t="str">
        <f>IF(B401=0,"",IF(LEFT(B401,LEN(B$5))=B$5,B$5,C$5))</f>
        <v/>
      </c>
      <c r="H401" s="95" t="str">
        <f t="shared" si="237"/>
        <v>0-0</v>
      </c>
      <c r="J401" s="97">
        <f>Singles!H$6</f>
        <v>1</v>
      </c>
      <c r="K401" s="95" t="str">
        <f t="shared" si="238"/>
        <v>SR</v>
      </c>
      <c r="L401" s="95" t="str">
        <f t="shared" si="239"/>
        <v>0</v>
      </c>
      <c r="M401" s="95" t="str">
        <f t="shared" si="240"/>
        <v>0</v>
      </c>
      <c r="N401" s="95" t="str">
        <f t="shared" si="241"/>
        <v>0</v>
      </c>
      <c r="O401" s="95" t="str">
        <f t="shared" si="242"/>
        <v>0</v>
      </c>
      <c r="P401" s="95" t="str">
        <f t="shared" si="243"/>
        <v>0</v>
      </c>
      <c r="Q401" s="95">
        <f>IF(AND(G401=T$5,LEN(G401)&gt;1),1,0)</f>
        <v>0</v>
      </c>
      <c r="R401" s="97">
        <f>Singles!D$6</f>
        <v>4</v>
      </c>
      <c r="S401" s="95">
        <f>IF(AND(H401=H$5,LEN(H401)&gt;1,Q401=1),1,0)</f>
        <v>0</v>
      </c>
      <c r="T401" s="95" t="str">
        <f t="shared" si="244"/>
        <v>No</v>
      </c>
      <c r="U401" s="95" t="str">
        <f>IF(T401="Winner",IF(V401&gt;V383,B397,B379),"")</f>
        <v/>
      </c>
      <c r="V401" s="97">
        <f>VLOOKUP(4,X398:Y413,2,0)</f>
        <v>1</v>
      </c>
      <c r="W401" s="95">
        <v>4</v>
      </c>
      <c r="X401" s="95">
        <f t="shared" si="245"/>
        <v>4</v>
      </c>
      <c r="Y401" s="95">
        <f t="shared" si="246"/>
        <v>1</v>
      </c>
      <c r="Z401" s="95">
        <f t="shared" si="247"/>
        <v>1</v>
      </c>
    </row>
    <row r="402" spans="1:26">
      <c r="A402" s="95">
        <v>5</v>
      </c>
      <c r="B402" s="95">
        <f>Singles!G117</f>
        <v>0</v>
      </c>
      <c r="C402" s="100" t="str">
        <f>IF(OR(LEFT(B402,LEN(B$6))=B$6,LEFT(B402,LEN(C$6))=C$6,LEN(B402)&lt;2),"","Wrong pick")</f>
        <v/>
      </c>
      <c r="G402" s="95" t="str">
        <f>IF(B402=0,"",IF(LEFT(B402,LEN(B$6))=B$6,B$6,C$6))</f>
        <v/>
      </c>
      <c r="H402" s="95" t="str">
        <f t="shared" si="237"/>
        <v>0-0</v>
      </c>
      <c r="J402" s="97">
        <f>Singles!H$7</f>
        <v>1</v>
      </c>
      <c r="K402" s="95" t="str">
        <f t="shared" si="238"/>
        <v>SR</v>
      </c>
      <c r="L402" s="95" t="str">
        <f t="shared" si="239"/>
        <v>0</v>
      </c>
      <c r="M402" s="95" t="str">
        <f t="shared" si="240"/>
        <v>0</v>
      </c>
      <c r="N402" s="95" t="str">
        <f t="shared" si="241"/>
        <v>0</v>
      </c>
      <c r="O402" s="95" t="str">
        <f t="shared" si="242"/>
        <v>0</v>
      </c>
      <c r="P402" s="95" t="str">
        <f t="shared" si="243"/>
        <v>0</v>
      </c>
      <c r="Q402" s="95">
        <f>IF(AND(G402=T$6,LEN(G402)&gt;1),1,0)</f>
        <v>0</v>
      </c>
      <c r="R402" s="97">
        <f>Singles!D$7</f>
        <v>5</v>
      </c>
      <c r="S402" s="95">
        <f>IF(AND(H402=H$6,LEN(H402)&gt;1,Q402=1),1,0)</f>
        <v>0</v>
      </c>
      <c r="T402" s="95" t="str">
        <f t="shared" si="244"/>
        <v>No</v>
      </c>
      <c r="U402" s="95" t="str">
        <f>IF(T402="Winner",IF(V402&gt;V384,B397,B379),"")</f>
        <v/>
      </c>
      <c r="V402" s="97">
        <f>VLOOKUP(5,X398:Y413,2,0)</f>
        <v>1</v>
      </c>
      <c r="W402" s="95">
        <v>5</v>
      </c>
      <c r="X402" s="95">
        <f t="shared" si="245"/>
        <v>5</v>
      </c>
      <c r="Y402" s="95">
        <f t="shared" si="246"/>
        <v>1</v>
      </c>
      <c r="Z402" s="95">
        <f t="shared" si="247"/>
        <v>1</v>
      </c>
    </row>
    <row r="403" spans="1:26">
      <c r="A403" s="95">
        <v>6</v>
      </c>
      <c r="B403" s="95">
        <f>Singles!G118</f>
        <v>0</v>
      </c>
      <c r="C403" s="100" t="str">
        <f>IF(OR(LEFT(B403,LEN(B$7))=B$7,LEFT(B403,LEN(C$7))=C$7,LEN(B403)&lt;2),"","Wrong pick")</f>
        <v/>
      </c>
      <c r="G403" s="95" t="str">
        <f>IF(B403=0,"",IF(LEFT(B403,LEN(B$7))=B$7,B$7,C$7))</f>
        <v/>
      </c>
      <c r="H403" s="95" t="str">
        <f t="shared" si="237"/>
        <v>0-0</v>
      </c>
      <c r="J403" s="97">
        <f>Singles!H$8</f>
        <v>1</v>
      </c>
      <c r="K403" s="95" t="str">
        <f t="shared" si="238"/>
        <v>SR</v>
      </c>
      <c r="L403" s="95" t="str">
        <f t="shared" si="239"/>
        <v>0</v>
      </c>
      <c r="M403" s="95" t="str">
        <f t="shared" si="240"/>
        <v>0</v>
      </c>
      <c r="N403" s="95" t="str">
        <f t="shared" si="241"/>
        <v>0</v>
      </c>
      <c r="O403" s="95" t="str">
        <f t="shared" si="242"/>
        <v>0</v>
      </c>
      <c r="P403" s="95" t="str">
        <f t="shared" si="243"/>
        <v>0</v>
      </c>
      <c r="Q403" s="95">
        <f>IF(AND(G403=T$7,LEN(G403)&gt;1),1,0)</f>
        <v>0</v>
      </c>
      <c r="R403" s="97">
        <f>Singles!D$8</f>
        <v>6</v>
      </c>
      <c r="S403" s="95">
        <f>IF(AND(H403=H$7,LEN(H403)&gt;1,Q403=1),1,0)</f>
        <v>0</v>
      </c>
      <c r="T403" s="95" t="str">
        <f t="shared" si="244"/>
        <v>No</v>
      </c>
      <c r="U403" s="95" t="str">
        <f>IF(T403="Winner",IF(V403&gt;V385,B397,B379),"")</f>
        <v/>
      </c>
      <c r="V403" s="97">
        <f>VLOOKUP(6,X398:Y413,2,0)</f>
        <v>1</v>
      </c>
      <c r="W403" s="95">
        <v>6</v>
      </c>
      <c r="X403" s="95">
        <f t="shared" si="245"/>
        <v>6</v>
      </c>
      <c r="Y403" s="95">
        <f t="shared" si="246"/>
        <v>1</v>
      </c>
      <c r="Z403" s="95">
        <f t="shared" si="247"/>
        <v>1</v>
      </c>
    </row>
    <row r="404" spans="1:26">
      <c r="A404" s="95">
        <v>7</v>
      </c>
      <c r="B404" s="95">
        <f>Singles!G119</f>
        <v>0</v>
      </c>
      <c r="C404" s="100" t="str">
        <f>IF(OR(LEFT(B404,LEN(B$8))=B$8,LEFT(B404,LEN(C$8))=C$8,LEN(B404)&lt;2),"","Wrong pick")</f>
        <v/>
      </c>
      <c r="G404" s="95" t="str">
        <f>IF(B404=0,"",IF(LEFT(B404,LEN(B$8))=B$8,B$8,C$8))</f>
        <v/>
      </c>
      <c r="H404" s="95" t="str">
        <f t="shared" si="237"/>
        <v>0-0</v>
      </c>
      <c r="J404" s="97">
        <f>Singles!H$9</f>
        <v>1</v>
      </c>
      <c r="K404" s="95" t="str">
        <f t="shared" si="238"/>
        <v>SR</v>
      </c>
      <c r="L404" s="95" t="str">
        <f t="shared" si="239"/>
        <v>0</v>
      </c>
      <c r="M404" s="95" t="str">
        <f t="shared" si="240"/>
        <v>0</v>
      </c>
      <c r="N404" s="95" t="str">
        <f t="shared" si="241"/>
        <v>0</v>
      </c>
      <c r="O404" s="95" t="str">
        <f t="shared" si="242"/>
        <v>0</v>
      </c>
      <c r="P404" s="95" t="str">
        <f t="shared" si="243"/>
        <v>0</v>
      </c>
      <c r="Q404" s="95">
        <f>IF(AND(G404=T$8,LEN(G404)&gt;1),1,0)</f>
        <v>0</v>
      </c>
      <c r="R404" s="97">
        <f>Singles!D$9</f>
        <v>7</v>
      </c>
      <c r="S404" s="95">
        <f>IF(AND(H404=H$8,LEN(H404)&gt;1,Q404=1),1,0)</f>
        <v>0</v>
      </c>
      <c r="T404" s="95" t="str">
        <f t="shared" si="244"/>
        <v>No</v>
      </c>
      <c r="U404" s="95" t="str">
        <f>IF(T404="Winner",IF(V404&gt;V386,B397,B379),"")</f>
        <v/>
      </c>
      <c r="V404" s="97">
        <f>VLOOKUP(7,X398:Y413,2,0)</f>
        <v>1</v>
      </c>
      <c r="W404" s="95">
        <v>7</v>
      </c>
      <c r="X404" s="95">
        <f t="shared" si="245"/>
        <v>7</v>
      </c>
      <c r="Y404" s="95">
        <f t="shared" si="246"/>
        <v>1</v>
      </c>
      <c r="Z404" s="95">
        <f t="shared" si="247"/>
        <v>1</v>
      </c>
    </row>
    <row r="405" spans="1:26">
      <c r="A405" s="95">
        <v>8</v>
      </c>
      <c r="B405" s="95">
        <f>Singles!G120</f>
        <v>0</v>
      </c>
      <c r="C405" s="100" t="str">
        <f>IF(OR(LEFT(B405,LEN(B$9))=B$9,LEFT(B405,LEN(C$9))=C$9,LEN(B405)&lt;2),"","Wrong pick")</f>
        <v/>
      </c>
      <c r="G405" s="95" t="str">
        <f>IF(B405=0,"",IF(LEFT(B405,LEN(B$9))=B$9,B$9,C$9))</f>
        <v/>
      </c>
      <c r="H405" s="95" t="str">
        <f t="shared" si="237"/>
        <v>0-0</v>
      </c>
      <c r="J405" s="97">
        <f>Singles!H$10</f>
        <v>1</v>
      </c>
      <c r="K405" s="95" t="str">
        <f t="shared" si="238"/>
        <v>SR</v>
      </c>
      <c r="L405" s="95" t="str">
        <f t="shared" si="239"/>
        <v>0</v>
      </c>
      <c r="M405" s="95" t="str">
        <f t="shared" si="240"/>
        <v>0</v>
      </c>
      <c r="N405" s="95" t="str">
        <f t="shared" si="241"/>
        <v>0</v>
      </c>
      <c r="O405" s="95" t="str">
        <f t="shared" si="242"/>
        <v>0</v>
      </c>
      <c r="P405" s="95" t="str">
        <f t="shared" si="243"/>
        <v>0</v>
      </c>
      <c r="Q405" s="95">
        <f>IF(AND(G405=T$9,LEN(G405)&gt;1),1,0)</f>
        <v>0</v>
      </c>
      <c r="R405" s="97">
        <f>Singles!D$10</f>
        <v>8</v>
      </c>
      <c r="S405" s="95">
        <f>IF(AND(H405=H$9,LEN(H405)&gt;1,Q405=1),1,0)</f>
        <v>0</v>
      </c>
      <c r="T405" s="95" t="str">
        <f t="shared" si="244"/>
        <v>No</v>
      </c>
      <c r="U405" s="95" t="str">
        <f>IF(T405="Winner",IF(V405&gt;V387,B397,B379),"")</f>
        <v/>
      </c>
      <c r="V405" s="97">
        <f>VLOOKUP(8,X398:Y413,2,0)</f>
        <v>1</v>
      </c>
      <c r="W405" s="95">
        <v>8</v>
      </c>
      <c r="X405" s="95">
        <f t="shared" si="245"/>
        <v>8</v>
      </c>
      <c r="Y405" s="95">
        <f t="shared" si="246"/>
        <v>1</v>
      </c>
      <c r="Z405" s="95">
        <f t="shared" si="247"/>
        <v>1</v>
      </c>
    </row>
    <row r="406" spans="1:26">
      <c r="A406" s="95">
        <v>9</v>
      </c>
      <c r="B406" s="95">
        <f>Singles!G121</f>
        <v>0</v>
      </c>
      <c r="C406" s="100" t="str">
        <f>IF(OR(LEFT(B406,LEN(B$10))=B$10,LEFT(B406,LEN(C$10))=C$10,LEN(B406)&lt;2),"","Wrong pick")</f>
        <v/>
      </c>
      <c r="G406" s="95" t="str">
        <f>IF(B406=0,"",IF(LEFT(B406,LEN(B$10))=B$10,B$10,C$10))</f>
        <v/>
      </c>
      <c r="H406" s="95" t="str">
        <f t="shared" si="237"/>
        <v>0-0</v>
      </c>
      <c r="J406" s="97">
        <f>Singles!H$11</f>
        <v>1</v>
      </c>
      <c r="K406" s="95" t="str">
        <f t="shared" si="238"/>
        <v>SR</v>
      </c>
      <c r="L406" s="95" t="str">
        <f t="shared" si="239"/>
        <v>0</v>
      </c>
      <c r="M406" s="95" t="str">
        <f t="shared" si="240"/>
        <v>0</v>
      </c>
      <c r="N406" s="95" t="str">
        <f t="shared" si="241"/>
        <v>0</v>
      </c>
      <c r="O406" s="95" t="str">
        <f t="shared" si="242"/>
        <v>0</v>
      </c>
      <c r="P406" s="95" t="str">
        <f t="shared" si="243"/>
        <v>0</v>
      </c>
      <c r="Q406" s="95">
        <f>IF(AND(G406=T$10,LEN(G406)&gt;1),1,0)</f>
        <v>0</v>
      </c>
      <c r="R406" s="97">
        <f>Singles!D$11</f>
        <v>9</v>
      </c>
      <c r="S406" s="95">
        <f>IF(AND(H406=H$10,LEN(H406)&gt;1,Q406=1),1,0)</f>
        <v>0</v>
      </c>
      <c r="T406" s="95" t="str">
        <f t="shared" si="244"/>
        <v>No</v>
      </c>
      <c r="U406" s="95" t="str">
        <f>IF(T406="Winner",IF(V406&gt;V388,B397,B379),"")</f>
        <v/>
      </c>
      <c r="V406" s="97">
        <f>VLOOKUP(9,X398:Y413,2,0)</f>
        <v>1</v>
      </c>
      <c r="W406" s="95">
        <v>9</v>
      </c>
      <c r="X406" s="95">
        <f t="shared" si="245"/>
        <v>9</v>
      </c>
      <c r="Y406" s="95">
        <f t="shared" si="246"/>
        <v>1</v>
      </c>
      <c r="Z406" s="95">
        <f t="shared" si="247"/>
        <v>1</v>
      </c>
    </row>
    <row r="407" spans="1:26">
      <c r="A407" s="95">
        <v>10</v>
      </c>
      <c r="B407" s="95">
        <f>Singles!G122</f>
        <v>0</v>
      </c>
      <c r="C407" s="100" t="str">
        <f>IF(OR(LEFT(B407,LEN(B$11))=B$11,LEFT(B407,LEN(C$11))=C$11,LEN(B407)&lt;2),"","Wrong pick")</f>
        <v/>
      </c>
      <c r="G407" s="95" t="str">
        <f>IF(B407=0,"",IF(LEFT(B407,LEN(B$11))=B$11,B$11,C$11))</f>
        <v/>
      </c>
      <c r="H407" s="95" t="str">
        <f t="shared" si="237"/>
        <v>0-0</v>
      </c>
      <c r="J407" s="97">
        <f>Singles!H$12</f>
        <v>1</v>
      </c>
      <c r="K407" s="95" t="str">
        <f t="shared" si="238"/>
        <v>SR</v>
      </c>
      <c r="L407" s="95" t="str">
        <f t="shared" si="239"/>
        <v>0</v>
      </c>
      <c r="M407" s="95" t="str">
        <f t="shared" si="240"/>
        <v>0</v>
      </c>
      <c r="N407" s="95" t="str">
        <f t="shared" si="241"/>
        <v>0</v>
      </c>
      <c r="O407" s="95" t="str">
        <f t="shared" si="242"/>
        <v>0</v>
      </c>
      <c r="P407" s="95" t="str">
        <f t="shared" si="243"/>
        <v>0</v>
      </c>
      <c r="Q407" s="95">
        <f>IF(AND(G407=T$11,LEN(G407)&gt;1),1,0)</f>
        <v>0</v>
      </c>
      <c r="R407" s="97">
        <f>Singles!D$12</f>
        <v>10</v>
      </c>
      <c r="S407" s="95">
        <f>IF(AND(H407=H$11,LEN(H407)&gt;1,Q407=1),1,0)</f>
        <v>0</v>
      </c>
      <c r="T407" s="95" t="str">
        <f t="shared" si="244"/>
        <v>No</v>
      </c>
      <c r="U407" s="95" t="str">
        <f>IF(T407="Winner",IF(V407&gt;V389,B397,B379),"")</f>
        <v/>
      </c>
      <c r="V407" s="97">
        <f>VLOOKUP(10,X398:Y413,2,0)</f>
        <v>1</v>
      </c>
      <c r="W407" s="95">
        <v>10</v>
      </c>
      <c r="X407" s="95">
        <f t="shared" si="245"/>
        <v>10</v>
      </c>
      <c r="Y407" s="95">
        <f t="shared" si="246"/>
        <v>1</v>
      </c>
      <c r="Z407" s="95">
        <f t="shared" si="247"/>
        <v>1</v>
      </c>
    </row>
    <row r="408" spans="1:26">
      <c r="A408" s="95">
        <v>11</v>
      </c>
      <c r="B408" s="95">
        <f>Singles!G123</f>
        <v>0</v>
      </c>
      <c r="C408" s="100" t="str">
        <f>IF(OR(LEFT(B408,LEN(B$12))=B$12,LEFT(B408,LEN(C$12))=C$12,LEN(B408)&lt;2),"","Wrong pick")</f>
        <v/>
      </c>
      <c r="G408" s="95" t="str">
        <f>IF(B408=0,"",IF(LEFT(B408,LEN(B$12))=B$12,B$12,C$12))</f>
        <v/>
      </c>
      <c r="H408" s="95" t="str">
        <f t="shared" si="237"/>
        <v>0-0</v>
      </c>
      <c r="J408" s="97">
        <f>Singles!H$13</f>
        <v>1</v>
      </c>
      <c r="K408" s="95" t="str">
        <f t="shared" si="238"/>
        <v>SR</v>
      </c>
      <c r="L408" s="95" t="str">
        <f t="shared" si="239"/>
        <v>0</v>
      </c>
      <c r="M408" s="95" t="str">
        <f t="shared" si="240"/>
        <v>0</v>
      </c>
      <c r="N408" s="95" t="str">
        <f t="shared" si="241"/>
        <v>0</v>
      </c>
      <c r="O408" s="95" t="str">
        <f t="shared" si="242"/>
        <v>0</v>
      </c>
      <c r="P408" s="95" t="str">
        <f t="shared" si="243"/>
        <v>0</v>
      </c>
      <c r="Q408" s="95">
        <f>IF(AND(G408=T$12,LEN(G408)&gt;1),1,0)</f>
        <v>0</v>
      </c>
      <c r="R408" s="97">
        <f>Singles!D$13</f>
        <v>11</v>
      </c>
      <c r="S408" s="95">
        <f>IF(AND(H408=H$12,LEN(H408)&gt;1,Q408=1),1,0)</f>
        <v>0</v>
      </c>
      <c r="T408" s="95" t="str">
        <f t="shared" si="244"/>
        <v>No</v>
      </c>
      <c r="U408" s="95" t="str">
        <f>IF(T408="Winner",IF(V408&gt;V390,B397,B379),"")</f>
        <v/>
      </c>
      <c r="V408" s="97">
        <f>VLOOKUP(11,X398:Y413,2,0)</f>
        <v>1</v>
      </c>
      <c r="W408" s="95">
        <v>11</v>
      </c>
      <c r="X408" s="95">
        <f t="shared" si="245"/>
        <v>11</v>
      </c>
      <c r="Y408" s="95">
        <f t="shared" si="246"/>
        <v>1</v>
      </c>
      <c r="Z408" s="95">
        <f t="shared" si="247"/>
        <v>1</v>
      </c>
    </row>
    <row r="409" spans="1:26">
      <c r="A409" s="95">
        <v>12</v>
      </c>
      <c r="B409" s="95">
        <f>Singles!G124</f>
        <v>0</v>
      </c>
      <c r="C409" s="100" t="str">
        <f>IF(OR(LEFT(B409,LEN(B$13))=B$13,LEFT(B409,LEN(C$13))=C$13,LEN(B409)&lt;2),"","Wrong pick")</f>
        <v/>
      </c>
      <c r="G409" s="95" t="str">
        <f>IF(B409=0,"",IF(LEFT(B409,LEN(B$13))=B$13,B$13,C$13))</f>
        <v/>
      </c>
      <c r="H409" s="95" t="str">
        <f t="shared" si="237"/>
        <v>0-0</v>
      </c>
      <c r="J409" s="97">
        <f>Singles!H$14</f>
        <v>1</v>
      </c>
      <c r="K409" s="95" t="str">
        <f t="shared" si="238"/>
        <v>SR</v>
      </c>
      <c r="L409" s="95" t="str">
        <f t="shared" si="239"/>
        <v>0</v>
      </c>
      <c r="M409" s="95" t="str">
        <f t="shared" si="240"/>
        <v>0</v>
      </c>
      <c r="N409" s="95" t="str">
        <f t="shared" si="241"/>
        <v>0</v>
      </c>
      <c r="O409" s="95" t="str">
        <f t="shared" si="242"/>
        <v>0</v>
      </c>
      <c r="P409" s="95" t="str">
        <f t="shared" si="243"/>
        <v>0</v>
      </c>
      <c r="Q409" s="95">
        <f>IF(AND(G409=T$13,LEN(G409)&gt;1),1,0)</f>
        <v>0</v>
      </c>
      <c r="R409" s="97">
        <f>Singles!D$14</f>
        <v>12</v>
      </c>
      <c r="S409" s="95">
        <f>IF(AND(H409=H$13,LEN(H409)&gt;1,Q409=1),1,0)</f>
        <v>0</v>
      </c>
      <c r="T409" s="95" t="str">
        <f t="shared" si="244"/>
        <v>No</v>
      </c>
      <c r="U409" s="95" t="str">
        <f>IF(T409="Winner",IF(V409&gt;V391,B397,B379),"")</f>
        <v/>
      </c>
      <c r="V409" s="97">
        <f>VLOOKUP(12,X398:Y413,2,0)</f>
        <v>1</v>
      </c>
      <c r="W409" s="95">
        <v>12</v>
      </c>
      <c r="X409" s="95">
        <f t="shared" si="245"/>
        <v>12</v>
      </c>
      <c r="Y409" s="95">
        <f t="shared" si="246"/>
        <v>1</v>
      </c>
      <c r="Z409" s="95">
        <f t="shared" si="247"/>
        <v>1</v>
      </c>
    </row>
    <row r="410" spans="1:26">
      <c r="A410" s="95">
        <v>13</v>
      </c>
      <c r="B410" s="95">
        <f>Singles!G125</f>
        <v>0</v>
      </c>
      <c r="C410" s="100" t="str">
        <f>IF(OR(LEFT(B410,LEN(B$14))=B$14,LEFT(B410,LEN(C$14))=C$14,LEN(B410)&lt;2),"","Wrong pick")</f>
        <v/>
      </c>
      <c r="G410" s="95" t="str">
        <f>IF(B410=0,"",IF(LEFT(B410,LEN(B$14))=B$14,B$14,C$14))</f>
        <v/>
      </c>
      <c r="H410" s="95" t="str">
        <f t="shared" si="237"/>
        <v>0-0</v>
      </c>
      <c r="J410" s="97">
        <f>Singles!H$15</f>
        <v>1</v>
      </c>
      <c r="K410" s="95" t="str">
        <f t="shared" si="238"/>
        <v>SR</v>
      </c>
      <c r="L410" s="95" t="str">
        <f t="shared" si="239"/>
        <v>0</v>
      </c>
      <c r="M410" s="95" t="str">
        <f t="shared" si="240"/>
        <v>0</v>
      </c>
      <c r="N410" s="95" t="str">
        <f t="shared" si="241"/>
        <v>0</v>
      </c>
      <c r="O410" s="95" t="str">
        <f t="shared" si="242"/>
        <v>0</v>
      </c>
      <c r="P410" s="95" t="str">
        <f t="shared" si="243"/>
        <v>0</v>
      </c>
      <c r="Q410" s="95">
        <f>IF(AND(G410=T$14,LEN(G410)&gt;1),1,0)</f>
        <v>0</v>
      </c>
      <c r="R410" s="97">
        <f>Singles!D$15</f>
        <v>13</v>
      </c>
      <c r="S410" s="95">
        <f>IF(AND(H410=H$14,LEN(H410)&gt;1,Q410=1),1,0)</f>
        <v>0</v>
      </c>
      <c r="T410" s="95" t="str">
        <f t="shared" si="244"/>
        <v>No</v>
      </c>
      <c r="U410" s="95" t="str">
        <f>IF(T410="Winner",IF(V410&gt;V392,B397,B379),"")</f>
        <v/>
      </c>
      <c r="V410" s="97">
        <f>VLOOKUP(13,X398:Y413,2,0)</f>
        <v>1</v>
      </c>
      <c r="W410" s="95">
        <v>13</v>
      </c>
      <c r="X410" s="95">
        <f t="shared" si="245"/>
        <v>13</v>
      </c>
      <c r="Y410" s="95">
        <f t="shared" si="246"/>
        <v>1</v>
      </c>
      <c r="Z410" s="95">
        <f t="shared" si="247"/>
        <v>1</v>
      </c>
    </row>
    <row r="411" spans="1:26">
      <c r="A411" s="95">
        <v>14</v>
      </c>
      <c r="B411" s="95">
        <f>Singles!G126</f>
        <v>0</v>
      </c>
      <c r="C411" s="100" t="str">
        <f>IF(OR(LEFT(B411,LEN(B$15))=B$15,LEFT(B411,LEN(C$15))=C$15,LEN(B411)&lt;2),"","Wrong pick")</f>
        <v/>
      </c>
      <c r="G411" s="95" t="str">
        <f>IF(B411=0,"",IF(LEFT(B411,LEN(B$15))=B$15,B$15,C$15))</f>
        <v/>
      </c>
      <c r="H411" s="95" t="str">
        <f t="shared" si="237"/>
        <v>0-0</v>
      </c>
      <c r="J411" s="97">
        <f>Singles!H$16</f>
        <v>1</v>
      </c>
      <c r="K411" s="95" t="str">
        <f t="shared" si="238"/>
        <v>SR</v>
      </c>
      <c r="L411" s="95" t="str">
        <f t="shared" si="239"/>
        <v>0</v>
      </c>
      <c r="M411" s="95" t="str">
        <f t="shared" si="240"/>
        <v>0</v>
      </c>
      <c r="N411" s="95" t="str">
        <f t="shared" si="241"/>
        <v>0</v>
      </c>
      <c r="O411" s="95" t="str">
        <f t="shared" si="242"/>
        <v>0</v>
      </c>
      <c r="P411" s="95" t="str">
        <f t="shared" si="243"/>
        <v>0</v>
      </c>
      <c r="Q411" s="95">
        <f>IF(AND(G411=T$15,LEN(G411)&gt;1),1,0)</f>
        <v>0</v>
      </c>
      <c r="R411" s="97">
        <f>Singles!D$16</f>
        <v>14</v>
      </c>
      <c r="S411" s="95">
        <f>IF(AND(H411=H$15,LEN(H411)&gt;1,Q411=1),1,0)</f>
        <v>0</v>
      </c>
      <c r="T411" s="95" t="str">
        <f t="shared" si="244"/>
        <v>No</v>
      </c>
      <c r="U411" s="95" t="str">
        <f>IF(T411="Winner",IF(V411&gt;V393,B397,B379),"")</f>
        <v/>
      </c>
      <c r="V411" s="97">
        <f>VLOOKUP(14,X398:Y413,2,0)</f>
        <v>1</v>
      </c>
      <c r="W411" s="95">
        <v>14</v>
      </c>
      <c r="X411" s="95">
        <f t="shared" si="245"/>
        <v>14</v>
      </c>
      <c r="Y411" s="95">
        <f t="shared" si="246"/>
        <v>1</v>
      </c>
      <c r="Z411" s="95">
        <f t="shared" si="247"/>
        <v>1</v>
      </c>
    </row>
    <row r="412" spans="1:26">
      <c r="A412" s="95">
        <v>15</v>
      </c>
      <c r="B412" s="95">
        <f>Singles!G127</f>
        <v>0</v>
      </c>
      <c r="C412" s="100" t="str">
        <f>IF(OR(LEFT(B412,LEN(B$16))=B$16,LEFT(B412,LEN(C$16))=C$16,LEN(B412)&lt;2),"","Wrong pick")</f>
        <v/>
      </c>
      <c r="G412" s="95" t="str">
        <f>IF(B412=0,"",IF(LEFT(B412,LEN(B$16))=B$16,B$16,C$16))</f>
        <v/>
      </c>
      <c r="H412" s="95" t="str">
        <f t="shared" si="237"/>
        <v>0-0</v>
      </c>
      <c r="J412" s="97">
        <f>Singles!H$17</f>
        <v>1</v>
      </c>
      <c r="K412" s="95" t="str">
        <f t="shared" si="238"/>
        <v>SR</v>
      </c>
      <c r="L412" s="95" t="str">
        <f t="shared" si="239"/>
        <v>0</v>
      </c>
      <c r="M412" s="95" t="str">
        <f t="shared" si="240"/>
        <v>0</v>
      </c>
      <c r="N412" s="95" t="str">
        <f t="shared" si="241"/>
        <v>0</v>
      </c>
      <c r="O412" s="95" t="str">
        <f t="shared" si="242"/>
        <v>0</v>
      </c>
      <c r="P412" s="95" t="str">
        <f t="shared" si="243"/>
        <v>0</v>
      </c>
      <c r="Q412" s="95">
        <f>IF(AND(G412=T$16,LEN(G412)&gt;1),1,0)</f>
        <v>0</v>
      </c>
      <c r="R412" s="97">
        <f>Singles!D$17</f>
        <v>15</v>
      </c>
      <c r="S412" s="95">
        <f>IF(AND(H412=H$16,LEN(H412)&gt;1,Q412=1),1,0)</f>
        <v>0</v>
      </c>
      <c r="T412" s="95" t="str">
        <f t="shared" si="244"/>
        <v>No</v>
      </c>
      <c r="U412" s="95" t="str">
        <f>IF(T412="Winner",IF(V412&gt;V394,B397,B379),"")</f>
        <v/>
      </c>
      <c r="V412" s="97">
        <f>VLOOKUP(15,X398:Y413,2,0)</f>
        <v>1</v>
      </c>
      <c r="W412" s="95">
        <v>15</v>
      </c>
      <c r="X412" s="95">
        <f t="shared" si="245"/>
        <v>15</v>
      </c>
      <c r="Y412" s="95">
        <f t="shared" si="246"/>
        <v>1</v>
      </c>
      <c r="Z412" s="95">
        <f t="shared" si="247"/>
        <v>1</v>
      </c>
    </row>
    <row r="413" spans="1:26">
      <c r="A413" s="95">
        <v>16</v>
      </c>
      <c r="B413" s="95">
        <f>Singles!G128</f>
        <v>0</v>
      </c>
      <c r="C413" s="100" t="str">
        <f>IF(OR(LEFT(B413,LEN(B$17))=B$17,LEFT(B413,LEN(C$17))=C$17,LEN(B413)&lt;2),"","Wrong pick")</f>
        <v/>
      </c>
      <c r="G413" s="95" t="str">
        <f>IF(B413=0,"",IF(LEFT(B413,LEN(B$17))=B$17,B$17,C$17))</f>
        <v/>
      </c>
      <c r="H413" s="95" t="str">
        <f t="shared" si="237"/>
        <v>0-0</v>
      </c>
      <c r="J413" s="97">
        <f>Singles!H$18</f>
        <v>1</v>
      </c>
      <c r="K413" s="95" t="str">
        <f t="shared" si="238"/>
        <v>SR</v>
      </c>
      <c r="L413" s="95" t="str">
        <f t="shared" si="239"/>
        <v>0</v>
      </c>
      <c r="M413" s="95" t="str">
        <f t="shared" si="240"/>
        <v>0</v>
      </c>
      <c r="N413" s="95" t="str">
        <f t="shared" si="241"/>
        <v>0</v>
      </c>
      <c r="O413" s="95" t="str">
        <f t="shared" si="242"/>
        <v>0</v>
      </c>
      <c r="P413" s="95" t="str">
        <f t="shared" si="243"/>
        <v>0</v>
      </c>
      <c r="Q413" s="95">
        <f>IF(AND(G413=T$17,LEN(G413)&gt;1),1,0)</f>
        <v>0</v>
      </c>
      <c r="R413" s="97">
        <f>Singles!D$18</f>
        <v>16</v>
      </c>
      <c r="S413" s="95">
        <f>IF(AND(H413=H$17,LEN(H413)&gt;1,Q413=1),1,0)</f>
        <v>0</v>
      </c>
      <c r="T413" s="95" t="str">
        <f t="shared" si="244"/>
        <v>No</v>
      </c>
      <c r="U413" s="95" t="str">
        <f>IF(T413="Winner",IF(V413&gt;V395,B397,B379),"")</f>
        <v/>
      </c>
      <c r="V413" s="97">
        <f>VLOOKUP(16,X398:Y413,2,0)</f>
        <v>1</v>
      </c>
      <c r="W413" s="95">
        <v>16</v>
      </c>
      <c r="X413" s="95">
        <f t="shared" si="245"/>
        <v>16</v>
      </c>
      <c r="Y413" s="95">
        <f t="shared" si="246"/>
        <v>1</v>
      </c>
      <c r="Z413" s="95">
        <f t="shared" si="247"/>
        <v>1</v>
      </c>
    </row>
    <row r="414" spans="1:26">
      <c r="T414" s="95" t="s">
        <v>89</v>
      </c>
      <c r="U414" s="95" t="s">
        <v>125</v>
      </c>
      <c r="W414" s="95">
        <v>17</v>
      </c>
    </row>
    <row r="415" spans="1:26">
      <c r="A415" s="95" t="e">
        <f>IF(LEN(VLOOKUP(B415,Singles!$A$2:$B$33,2,0))&gt;0,VLOOKUP(B415,Singles!$A$2:$B$33,2,0),"")</f>
        <v>#N/A</v>
      </c>
      <c r="B415" s="96">
        <f>Singles!H112</f>
        <v>0</v>
      </c>
      <c r="C415" s="96">
        <v>23</v>
      </c>
      <c r="D415" s="95" t="e">
        <f>VLOOKUP(B415,Singles!$A$2:$C$33,3,0)</f>
        <v>#N/A</v>
      </c>
      <c r="J415" s="95" t="s">
        <v>88</v>
      </c>
      <c r="Q415" s="95" t="s">
        <v>121</v>
      </c>
      <c r="S415" s="95" t="s">
        <v>122</v>
      </c>
      <c r="T415" s="95" t="e">
        <f>IF(LEN(A415)&gt;0,"("&amp;A415&amp;") "&amp;B415,B415)&amp;IF(LEN(D415)&gt;1," ("&amp;D415&amp;")","")</f>
        <v>#N/A</v>
      </c>
      <c r="V415" s="95" t="s">
        <v>123</v>
      </c>
      <c r="Y415" s="95" t="s">
        <v>123</v>
      </c>
    </row>
    <row r="416" spans="1:26">
      <c r="A416" s="95">
        <v>1</v>
      </c>
      <c r="B416" s="95">
        <f>Singles!H113</f>
        <v>0</v>
      </c>
      <c r="C416" s="99" t="str">
        <f>IF(OR(LEFT(B416,LEN(B$2))=B$2,LEFT(B416,LEN(C$2))=C$2,LEN(B416)&lt;2),"","Wrong pick")</f>
        <v/>
      </c>
      <c r="D416" s="95">
        <f t="shared" ref="D416:D431" ca="1" si="248">IF(OR(G416=G434,INDIRECT(ADDRESS(A416+1,6,1))&gt;0),0,1)</f>
        <v>0</v>
      </c>
      <c r="E416" s="95" t="str">
        <f ca="1">IF(AND(D416=1,J416=$I$2),G416&amp;", ","")&amp;IF(AND(D417=1,J417=$I$2),G417&amp;", ","")&amp;IF(AND(D418=1,J418=$I$2),G418&amp;", ","")&amp;IF(AND(D419=1,J419=$I$2),G419&amp;", ","")&amp;IF(AND(D420=1,J420=$I$2),G420&amp;", ","")&amp;IF(AND(D421=1,J421=$I$2),G421&amp;", ","")&amp;IF(AND(D422=1,J422=$I$2),G422&amp;", ","")&amp;IF(AND(D423=1,J423=$I$2),G423&amp;", ","")&amp;IF(AND(D424=1,J424=$I$2),G424&amp;", ","")&amp;IF(AND(D425=1,J425=$I$2),G425&amp;", ","")&amp;IF(AND(D426=1,J426=$I$2),G426&amp;", ","")&amp;IF(AND(D427=1,J427=$I$2),G427&amp;", ","")&amp;IF(AND(D428=1,J428=$I$2),G428&amp;", ","")&amp;IF(AND(D429=1,J429=$I$2),G429&amp;", ","")&amp;IF(AND(D430=1,J430=$I$2),G430&amp;", ","")&amp;IF(AND(D431=1,J431=$I$2),G431&amp;", ","")</f>
        <v/>
      </c>
      <c r="F416" s="95" t="str">
        <f>IF(AND(SUM(Z416:Z431)=$I$4,NOT(B415="Bye")),"Missing picks from "&amp;B415&amp;" ","")</f>
        <v xml:space="preserve">Missing picks from 0 </v>
      </c>
      <c r="G416" s="95" t="str">
        <f>IF(B416=0,"",IF(LEFT(B416,LEN(B$2))=B$2,B$2,C$2))</f>
        <v/>
      </c>
      <c r="H416" s="95" t="str">
        <f t="shared" ref="H416:H431" si="249">IF(L416="","",IF(K416="PTS",IF(LEN(O416)&lt;8,"2-0","2-1"),LEFT(O416,1)&amp;"-"&amp;RIGHT(O416,1)))</f>
        <v>0-0</v>
      </c>
      <c r="I416" s="95" t="str">
        <f ca="1">IF(AND(J416=Singles!$H$21,INDIRECT(ADDRESS(A416+1,6,1))=0,NOT(INDIRECT(ADDRESS(A416+1,5,1))="")),IF(D416=0,IF(H416=H434,"",G416&amp;" "&amp;H416&amp;" v "&amp;H434&amp;", "),G416&amp;" "&amp;H416&amp;" vs. "&amp;G434&amp;" "&amp;H434&amp;", "),"")</f>
        <v/>
      </c>
      <c r="J416" s="97">
        <f>Singles!H$3</f>
        <v>1</v>
      </c>
      <c r="K416" s="95" t="str">
        <f t="shared" ref="K416:K431" si="250">IF(LEN(L416)&gt;0,IF(LEN(O416)&lt;4,"SR","PTS"),"")</f>
        <v>SR</v>
      </c>
      <c r="L416" s="95" t="str">
        <f t="shared" ref="L416:L431" si="251">TRIM(RIGHT(B416,LEN(B416)-LEN(G416)))</f>
        <v>0</v>
      </c>
      <c r="M416" s="95" t="str">
        <f t="shared" ref="M416:M431" si="252">SUBSTITUTE(L416,"-","")</f>
        <v>0</v>
      </c>
      <c r="N416" s="95" t="str">
        <f t="shared" ref="N416:N431" si="253">SUBSTITUTE(M416,","," ")</f>
        <v>0</v>
      </c>
      <c r="O416" s="95" t="str">
        <f t="shared" ref="O416:O431" si="254">IF(AND(LEN(TRIM(SUBSTITUTE(P416,"/","")))&gt;6,OR(LEFT(TRIM(SUBSTITUTE(P416,"/","")),2)="20",LEFT(TRIM(SUBSTITUTE(P416,"/","")),2)="21")),RIGHT(TRIM(SUBSTITUTE(P416,"/","")),LEN(TRIM(SUBSTITUTE(P416,"/","")))-3),TRIM(SUBSTITUTE(P416,"/","")))</f>
        <v>0</v>
      </c>
      <c r="P416" s="95" t="str">
        <f t="shared" ref="P416:P431" si="255">SUBSTITUTE(N416,":","")</f>
        <v>0</v>
      </c>
      <c r="Q416" s="95">
        <f>IF(AND(G416=T$2,LEN(G416)&gt;1),1,0)</f>
        <v>0</v>
      </c>
      <c r="R416" s="97">
        <f>Singles!D$3</f>
        <v>1</v>
      </c>
      <c r="S416" s="95">
        <f>IF(AND(H416=H$2,LEN(H416)&gt;1,Q416=1),1,0)</f>
        <v>0</v>
      </c>
      <c r="T416" s="95" t="str">
        <f ca="1">" SR Differences: "&amp;IF(LEN(I416&amp;I417&amp;I418&amp;I419&amp;I420&amp;I421&amp;I422&amp;I423&amp;I424&amp;I425&amp;I426&amp;I427&amp;I428&amp;I429&amp;I430&amp;I431)&lt;3,"None..",I416&amp;I417&amp;I418&amp;I419&amp;I420&amp;I421&amp;I422&amp;I423&amp;I424&amp;I425&amp;I426&amp;I427&amp;I428&amp;I429&amp;I430&amp;I431)</f>
        <v xml:space="preserve"> SR Differences: None..</v>
      </c>
      <c r="V416" s="97">
        <f>VLOOKUP(1,X416:Y431,2,0)</f>
        <v>1</v>
      </c>
      <c r="X416" s="95">
        <f t="shared" ref="X416:X431" si="256">R416</f>
        <v>1</v>
      </c>
      <c r="Y416" s="95">
        <f t="shared" ref="Y416:Y431" si="257">IF(Q416=1,IF(S416=1,4,3),IF(H416="2-1",2,1))</f>
        <v>1</v>
      </c>
      <c r="Z416" s="95">
        <f t="shared" ref="Z416:Z431" si="258">IF(AND($I$2=J416,B416=0),1,0)</f>
        <v>1</v>
      </c>
    </row>
    <row r="417" spans="1:26">
      <c r="A417" s="95">
        <v>2</v>
      </c>
      <c r="B417" s="95">
        <f>Singles!H114</f>
        <v>0</v>
      </c>
      <c r="C417" s="100" t="str">
        <f>IF(OR(LEFT(B417,LEN(B$3))=B$3,LEFT(B417,LEN(C$3))=C$3,LEN(B417)&lt;2),"","Wrong pick")</f>
        <v/>
      </c>
      <c r="D417" s="95">
        <f t="shared" ca="1" si="248"/>
        <v>0</v>
      </c>
      <c r="G417" s="95" t="str">
        <f>IF(B417=0,"",IF(LEFT(B417,LEN(B$3))=B$3,B$3,C$3))</f>
        <v/>
      </c>
      <c r="H417" s="95" t="str">
        <f t="shared" si="249"/>
        <v>0-0</v>
      </c>
      <c r="I417" s="95" t="str">
        <f ca="1">IF(AND(J417=Singles!$H$21,INDIRECT(ADDRESS(A417+1,6,1))=0,NOT(INDIRECT(ADDRESS(A417+1,5,1))="")),IF(D417=0,IF(H417=H435,"",G417&amp;" "&amp;H417&amp;" v "&amp;H435&amp;", "),G417&amp;" "&amp;H417&amp;" vs. "&amp;G435&amp;" "&amp;H435&amp;", "),"")</f>
        <v/>
      </c>
      <c r="J417" s="97">
        <f>Singles!H$4</f>
        <v>1</v>
      </c>
      <c r="K417" s="95" t="str">
        <f t="shared" si="250"/>
        <v>SR</v>
      </c>
      <c r="L417" s="95" t="str">
        <f t="shared" si="251"/>
        <v>0</v>
      </c>
      <c r="M417" s="95" t="str">
        <f t="shared" si="252"/>
        <v>0</v>
      </c>
      <c r="N417" s="95" t="str">
        <f t="shared" si="253"/>
        <v>0</v>
      </c>
      <c r="O417" s="95" t="str">
        <f t="shared" si="254"/>
        <v>0</v>
      </c>
      <c r="P417" s="95" t="str">
        <f t="shared" si="255"/>
        <v>0</v>
      </c>
      <c r="Q417" s="95">
        <f>IF(AND(G417=T$3,LEN(G417)&gt;1),1,0)</f>
        <v>0</v>
      </c>
      <c r="R417" s="97">
        <f>Singles!D$4</f>
        <v>2</v>
      </c>
      <c r="S417" s="95">
        <f>IF(AND(H417=H$3,LEN(H417)&gt;1,Q417=1),1,0)</f>
        <v>0</v>
      </c>
      <c r="T417" s="95" t="str">
        <f ca="1">IF(T418&gt;0,LEFT(E416,LEN(E416)-2)&amp;" vs. "&amp;LEFT(E434,LEN(E434)-2),IF(SUMIF(Singles!$H$3:$H$18,"="&amp;Singles!$H$21,Singles!$I$3:$I$18)=0,"Same winners;",""))</f>
        <v>Same winners;</v>
      </c>
      <c r="V417" s="97">
        <f>VLOOKUP(2,X416:Y431,2,0)</f>
        <v>1</v>
      </c>
      <c r="X417" s="95">
        <f t="shared" si="256"/>
        <v>2</v>
      </c>
      <c r="Y417" s="95">
        <f t="shared" si="257"/>
        <v>1</v>
      </c>
      <c r="Z417" s="95">
        <f t="shared" si="258"/>
        <v>1</v>
      </c>
    </row>
    <row r="418" spans="1:26">
      <c r="A418" s="95">
        <v>3</v>
      </c>
      <c r="B418" s="95">
        <f>Singles!H115</f>
        <v>0</v>
      </c>
      <c r="C418" s="100" t="str">
        <f>IF(OR(LEFT(B418,LEN(B$4))=B$4,LEFT(B418,LEN(C$4))=C$4,LEN(B418)&lt;2),"","Wrong pick")</f>
        <v/>
      </c>
      <c r="D418" s="95">
        <f t="shared" ca="1" si="248"/>
        <v>0</v>
      </c>
      <c r="G418" s="95" t="str">
        <f>IF(B418=0,"",IF(LEFT(B418,LEN(B$4))=B$4,B$4,C$4))</f>
        <v/>
      </c>
      <c r="H418" s="95" t="str">
        <f t="shared" si="249"/>
        <v>0-0</v>
      </c>
      <c r="I418" s="95" t="str">
        <f ca="1">IF(AND(J418=Singles!$H$21,INDIRECT(ADDRESS(A418+1,6,1))=0,NOT(INDIRECT(ADDRESS(A418+1,5,1))="")),IF(D418=0,IF(H418=H436,"",G418&amp;" "&amp;H418&amp;" v "&amp;H436&amp;", "),G418&amp;" "&amp;H418&amp;" vs. "&amp;G436&amp;" "&amp;H436&amp;", "),"")</f>
        <v/>
      </c>
      <c r="J418" s="97">
        <f>Singles!H$5</f>
        <v>1</v>
      </c>
      <c r="K418" s="95" t="str">
        <f t="shared" si="250"/>
        <v>SR</v>
      </c>
      <c r="L418" s="95" t="str">
        <f t="shared" si="251"/>
        <v>0</v>
      </c>
      <c r="M418" s="95" t="str">
        <f t="shared" si="252"/>
        <v>0</v>
      </c>
      <c r="N418" s="95" t="str">
        <f t="shared" si="253"/>
        <v>0</v>
      </c>
      <c r="O418" s="95" t="str">
        <f t="shared" si="254"/>
        <v>0</v>
      </c>
      <c r="P418" s="95" t="str">
        <f t="shared" si="255"/>
        <v>0</v>
      </c>
      <c r="Q418" s="95">
        <f>IF(AND(G418=T$4,LEN(G418)&gt;1),1,0)</f>
        <v>0</v>
      </c>
      <c r="R418" s="97">
        <f>Singles!D$5</f>
        <v>3</v>
      </c>
      <c r="S418" s="95">
        <f>IF(AND(H418=H$4,LEN(H418)&gt;1,Q418=1),1,0)</f>
        <v>0</v>
      </c>
      <c r="T418" s="101">
        <f ca="1">SUMIF(J416:J431,$I$2,D416:D431)</f>
        <v>0</v>
      </c>
      <c r="V418" s="97">
        <f>VLOOKUP(3,X416:Y431,2,0)</f>
        <v>1</v>
      </c>
      <c r="X418" s="95">
        <f t="shared" si="256"/>
        <v>3</v>
      </c>
      <c r="Y418" s="95">
        <f t="shared" si="257"/>
        <v>1</v>
      </c>
      <c r="Z418" s="95">
        <f t="shared" si="258"/>
        <v>1</v>
      </c>
    </row>
    <row r="419" spans="1:26">
      <c r="A419" s="95">
        <v>4</v>
      </c>
      <c r="B419" s="95">
        <f>Singles!H116</f>
        <v>0</v>
      </c>
      <c r="C419" s="100" t="str">
        <f>IF(OR(LEFT(B419,LEN(B$5))=B$5,LEFT(B419,LEN(C$5))=C$5,LEN(B419)&lt;2),"","Wrong pick")</f>
        <v/>
      </c>
      <c r="D419" s="95">
        <f t="shared" ca="1" si="248"/>
        <v>0</v>
      </c>
      <c r="G419" s="95" t="str">
        <f>IF(B419=0,"",IF(LEFT(B419,LEN(B$5))=B$5,B$5,C$5))</f>
        <v/>
      </c>
      <c r="H419" s="95" t="str">
        <f t="shared" si="249"/>
        <v>0-0</v>
      </c>
      <c r="I419" s="95" t="str">
        <f ca="1">IF(AND(J419=Singles!$H$21,INDIRECT(ADDRESS(A419+1,6,1))=0,NOT(INDIRECT(ADDRESS(A419+1,5,1))="")),IF(D419=0,IF(H419=H437,"",G419&amp;" "&amp;H419&amp;" v "&amp;H437&amp;", "),G419&amp;" "&amp;H419&amp;" vs. "&amp;G437&amp;" "&amp;H437&amp;", "),"")</f>
        <v/>
      </c>
      <c r="J419" s="97">
        <f>Singles!H$6</f>
        <v>1</v>
      </c>
      <c r="K419" s="95" t="str">
        <f t="shared" si="250"/>
        <v>SR</v>
      </c>
      <c r="L419" s="95" t="str">
        <f t="shared" si="251"/>
        <v>0</v>
      </c>
      <c r="M419" s="95" t="str">
        <f t="shared" si="252"/>
        <v>0</v>
      </c>
      <c r="N419" s="95" t="str">
        <f t="shared" si="253"/>
        <v>0</v>
      </c>
      <c r="O419" s="95" t="str">
        <f t="shared" si="254"/>
        <v>0</v>
      </c>
      <c r="P419" s="95" t="str">
        <f t="shared" si="255"/>
        <v>0</v>
      </c>
      <c r="Q419" s="95">
        <f>IF(AND(G419=T$5,LEN(G419)&gt;1),1,0)</f>
        <v>0</v>
      </c>
      <c r="R419" s="97">
        <f>Singles!D$6</f>
        <v>4</v>
      </c>
      <c r="S419" s="95">
        <f>IF(AND(H419=H$5,LEN(H419)&gt;1,Q419=1),1,0)</f>
        <v>0</v>
      </c>
      <c r="T419" s="102" t="e">
        <f>IF(T421&lt;10,"0","")&amp;T421&amp;":"&amp;IF(T422&lt;10,"0","")&amp;T422&amp;" | [b]"&amp;IF(LEN(U419)&gt;0,U419,T415&amp;"[/b] vs. [b]"&amp;T433&amp;"[/b]"&amp;IF(Singles!$H$21&gt;1," (SR "&amp;U421&amp;":"&amp;U422&amp;")","")&amp;" - "&amp;IF(COUNTIF(C416:C449,"=Wrong Pick")&gt;0,"Incorrect pick, probably a spelling mistake",IF(AND(F416="",F434=""),T417&amp;IF(AND(OR(AND(Singles!$H$20&gt;1,Singles!$H$21&lt;Singles!$H$20),MOD(T418+T421+T422,2)=0),NOT(Singles!$H$23="No")),LEFT(T416,LEN(T416)-2),""),F416&amp;F434)))</f>
        <v>#N/A</v>
      </c>
      <c r="U419" s="95" t="str">
        <f>IF(B415="Bye","Bye[/b] vs. [b][color=blue]"&amp;T433&amp;"[/color][/b]",IF(B433="Bye","[color=blue]"&amp;T415&amp;"[/color][/b] vs. [b]Bye[/b]",""))</f>
        <v/>
      </c>
      <c r="V419" s="97">
        <f>VLOOKUP(4,X416:Y431,2,0)</f>
        <v>1</v>
      </c>
      <c r="X419" s="95">
        <f t="shared" si="256"/>
        <v>4</v>
      </c>
      <c r="Y419" s="95">
        <f t="shared" si="257"/>
        <v>1</v>
      </c>
      <c r="Z419" s="95">
        <f t="shared" si="258"/>
        <v>1</v>
      </c>
    </row>
    <row r="420" spans="1:26">
      <c r="A420" s="95">
        <v>5</v>
      </c>
      <c r="B420" s="95">
        <f>Singles!H117</f>
        <v>0</v>
      </c>
      <c r="C420" s="100" t="str">
        <f>IF(OR(LEFT(B420,LEN(B$6))=B$6,LEFT(B420,LEN(C$6))=C$6,LEN(B420)&lt;2),"","Wrong pick")</f>
        <v/>
      </c>
      <c r="D420" s="95">
        <f t="shared" ca="1" si="248"/>
        <v>0</v>
      </c>
      <c r="G420" s="95" t="str">
        <f>IF(B420=0,"",IF(LEFT(B420,LEN(B$6))=B$6,B$6,C$6))</f>
        <v/>
      </c>
      <c r="H420" s="95" t="str">
        <f t="shared" si="249"/>
        <v>0-0</v>
      </c>
      <c r="I420" s="95" t="str">
        <f ca="1">IF(AND(J420=Singles!$H$21,INDIRECT(ADDRESS(A420+1,6,1))=0,NOT(INDIRECT(ADDRESS(A420+1,5,1))="")),IF(D420=0,IF(H420=H438,"",G420&amp;" "&amp;H420&amp;" v "&amp;H438&amp;", "),G420&amp;" "&amp;H420&amp;" vs. "&amp;G438&amp;" "&amp;H438&amp;", "),"")</f>
        <v/>
      </c>
      <c r="J420" s="97">
        <f>Singles!H$7</f>
        <v>1</v>
      </c>
      <c r="K420" s="95" t="str">
        <f t="shared" si="250"/>
        <v>SR</v>
      </c>
      <c r="L420" s="95" t="str">
        <f t="shared" si="251"/>
        <v>0</v>
      </c>
      <c r="M420" s="95" t="str">
        <f t="shared" si="252"/>
        <v>0</v>
      </c>
      <c r="N420" s="95" t="str">
        <f t="shared" si="253"/>
        <v>0</v>
      </c>
      <c r="O420" s="95" t="str">
        <f t="shared" si="254"/>
        <v>0</v>
      </c>
      <c r="P420" s="95" t="str">
        <f t="shared" si="255"/>
        <v>0</v>
      </c>
      <c r="Q420" s="95">
        <f>IF(AND(G420=T$6,LEN(G420)&gt;1),1,0)</f>
        <v>0</v>
      </c>
      <c r="R420" s="97">
        <f>Singles!D$7</f>
        <v>5</v>
      </c>
      <c r="S420" s="95">
        <f>IF(AND(H420=H$6,LEN(H420)&gt;1,Q420=1),1,0)</f>
        <v>0</v>
      </c>
      <c r="T420" s="103" t="str">
        <f>IF(Singles!$H$22=$F$18,IF(T421&gt;T422,B415,IF(T421&lt;T422,B433,IF(U421&gt;U422,B415,IF(U421&lt;U422,B433,T424)))),"No decision yet")</f>
        <v>No decision yet</v>
      </c>
      <c r="U420" s="104" t="e">
        <f>IF(T421&lt;10,"0","")&amp;T421&amp;":"&amp;IF(T422&lt;10,"0","")&amp;T422&amp;" | "&amp;IF(AND(A415&gt;0,A415&lt;33,B415=T420),"[b][color=Blue]"&amp;T415&amp;"[/color][/b]",IF(B415=T420,"[color=Blue]"&amp;T415&amp;"[/color]",IF(AND(A415&gt;0,A415&lt;33),"[b]"&amp;T415&amp;"[/b]",T415)))&amp;" vs. "&amp;IF(AND(A433&gt;0,A433&lt;33,B433=T420),"[b][color=Blue]"&amp;T433&amp;"[/color][/b]",IF(B433=T420,"[color=Blue]"&amp;T433&amp;"[/color]",IF(AND(A433&gt;0,A433&lt;33),"[b]"&amp;T433&amp;"[/b]",T433)))&amp;IF(OR(Singles!$B$40="yes",T421=T422)," #SRs: "&amp;U421&amp;"-"&amp;U422,"")&amp;IF(AND(T421=T422,U421=U422,U424&lt;17,Singles!$H$22=$F$18),", Shootout: SR"&amp;U424,"")</f>
        <v>#N/A</v>
      </c>
      <c r="V420" s="97">
        <f>VLOOKUP(5,X416:Y431,2,0)</f>
        <v>1</v>
      </c>
      <c r="X420" s="95">
        <f t="shared" si="256"/>
        <v>5</v>
      </c>
      <c r="Y420" s="95">
        <f t="shared" si="257"/>
        <v>1</v>
      </c>
      <c r="Z420" s="95">
        <f t="shared" si="258"/>
        <v>1</v>
      </c>
    </row>
    <row r="421" spans="1:26">
      <c r="A421" s="95">
        <v>6</v>
      </c>
      <c r="B421" s="95">
        <f>Singles!H118</f>
        <v>0</v>
      </c>
      <c r="C421" s="100" t="str">
        <f>IF(OR(LEFT(B421,LEN(B$7))=B$7,LEFT(B421,LEN(C$7))=C$7,LEN(B421)&lt;2),"","Wrong pick")</f>
        <v/>
      </c>
      <c r="D421" s="95">
        <f t="shared" ca="1" si="248"/>
        <v>0</v>
      </c>
      <c r="G421" s="95" t="str">
        <f>IF(B421=0,"",IF(LEFT(B421,LEN(B$7))=B$7,B$7,C$7))</f>
        <v/>
      </c>
      <c r="H421" s="95" t="str">
        <f t="shared" si="249"/>
        <v>0-0</v>
      </c>
      <c r="I421" s="95" t="str">
        <f ca="1">IF(AND(J421=Singles!$H$21,INDIRECT(ADDRESS(A421+1,6,1))=0,NOT(INDIRECT(ADDRESS(A421+1,5,1))="")),IF(D421=0,IF(H421=H439,"",G421&amp;" "&amp;H421&amp;" v "&amp;H439&amp;", "),G421&amp;" "&amp;H421&amp;" vs. "&amp;G439&amp;" "&amp;H439&amp;", "),"")</f>
        <v/>
      </c>
      <c r="J421" s="97">
        <f>Singles!H$8</f>
        <v>1</v>
      </c>
      <c r="K421" s="95" t="str">
        <f t="shared" si="250"/>
        <v>SR</v>
      </c>
      <c r="L421" s="95" t="str">
        <f t="shared" si="251"/>
        <v>0</v>
      </c>
      <c r="M421" s="95" t="str">
        <f t="shared" si="252"/>
        <v>0</v>
      </c>
      <c r="N421" s="95" t="str">
        <f t="shared" si="253"/>
        <v>0</v>
      </c>
      <c r="O421" s="95" t="str">
        <f t="shared" si="254"/>
        <v>0</v>
      </c>
      <c r="P421" s="95" t="str">
        <f t="shared" si="255"/>
        <v>0</v>
      </c>
      <c r="Q421" s="95">
        <f>IF(AND(G421=T$7,LEN(G421)&gt;1),1,0)</f>
        <v>0</v>
      </c>
      <c r="R421" s="97">
        <f>Singles!D$8</f>
        <v>6</v>
      </c>
      <c r="S421" s="95">
        <f>IF(AND(H421=H$7,LEN(H421)&gt;1,Q421=1),1,0)</f>
        <v>0</v>
      </c>
      <c r="T421" s="105">
        <f>SUM(Q416:Q431)</f>
        <v>0</v>
      </c>
      <c r="U421" s="97">
        <f>SUM(S416:S431)</f>
        <v>0</v>
      </c>
      <c r="V421" s="97">
        <f>VLOOKUP(6,X416:Y431,2,0)</f>
        <v>1</v>
      </c>
      <c r="X421" s="95">
        <f t="shared" si="256"/>
        <v>6</v>
      </c>
      <c r="Y421" s="95">
        <f t="shared" si="257"/>
        <v>1</v>
      </c>
      <c r="Z421" s="95">
        <f t="shared" si="258"/>
        <v>1</v>
      </c>
    </row>
    <row r="422" spans="1:26">
      <c r="A422" s="95">
        <v>7</v>
      </c>
      <c r="B422" s="95">
        <f>Singles!H119</f>
        <v>0</v>
      </c>
      <c r="C422" s="100" t="str">
        <f>IF(OR(LEFT(B422,LEN(B$8))=B$8,LEFT(B422,LEN(C$8))=C$8,LEN(B422)&lt;2),"","Wrong pick")</f>
        <v/>
      </c>
      <c r="D422" s="95">
        <f t="shared" ca="1" si="248"/>
        <v>0</v>
      </c>
      <c r="G422" s="95" t="str">
        <f>IF(B422=0,"",IF(LEFT(B422,LEN(B$8))=B$8,B$8,C$8))</f>
        <v/>
      </c>
      <c r="H422" s="95" t="str">
        <f t="shared" si="249"/>
        <v>0-0</v>
      </c>
      <c r="I422" s="95" t="str">
        <f ca="1">IF(AND(J422=Singles!$H$21,INDIRECT(ADDRESS(A422+1,6,1))=0,NOT(INDIRECT(ADDRESS(A422+1,5,1))="")),IF(D422=0,IF(H422=H440,"",G422&amp;" "&amp;H422&amp;" v "&amp;H440&amp;", "),G422&amp;" "&amp;H422&amp;" vs. "&amp;G440&amp;" "&amp;H440&amp;", "),"")</f>
        <v/>
      </c>
      <c r="J422" s="97">
        <f>Singles!H$9</f>
        <v>1</v>
      </c>
      <c r="K422" s="95" t="str">
        <f t="shared" si="250"/>
        <v>SR</v>
      </c>
      <c r="L422" s="95" t="str">
        <f t="shared" si="251"/>
        <v>0</v>
      </c>
      <c r="M422" s="95" t="str">
        <f t="shared" si="252"/>
        <v>0</v>
      </c>
      <c r="N422" s="95" t="str">
        <f t="shared" si="253"/>
        <v>0</v>
      </c>
      <c r="O422" s="95" t="str">
        <f t="shared" si="254"/>
        <v>0</v>
      </c>
      <c r="P422" s="95" t="str">
        <f t="shared" si="255"/>
        <v>0</v>
      </c>
      <c r="Q422" s="95">
        <f>IF(AND(G422=T$8,LEN(G422)&gt;1),1,0)</f>
        <v>0</v>
      </c>
      <c r="R422" s="97">
        <f>Singles!D$9</f>
        <v>7</v>
      </c>
      <c r="S422" s="95">
        <f>IF(AND(H422=H$8,LEN(H422)&gt;1,Q422=1),1,0)</f>
        <v>0</v>
      </c>
      <c r="T422" s="105">
        <f>SUM(Q434:Q449)</f>
        <v>0</v>
      </c>
      <c r="U422" s="97">
        <f>SUM(S434:S449)</f>
        <v>0</v>
      </c>
      <c r="V422" s="97">
        <f>VLOOKUP(7,X416:Y431,2,0)</f>
        <v>1</v>
      </c>
      <c r="X422" s="95">
        <f t="shared" si="256"/>
        <v>7</v>
      </c>
      <c r="Y422" s="95">
        <f t="shared" si="257"/>
        <v>1</v>
      </c>
      <c r="Z422" s="95">
        <f t="shared" si="258"/>
        <v>1</v>
      </c>
    </row>
    <row r="423" spans="1:26">
      <c r="A423" s="95">
        <v>8</v>
      </c>
      <c r="B423" s="95">
        <f>Singles!H120</f>
        <v>0</v>
      </c>
      <c r="C423" s="100" t="str">
        <f>IF(OR(LEFT(B423,LEN(B$9))=B$9,LEFT(B423,LEN(C$9))=C$9,LEN(B423)&lt;2),"","Wrong pick")</f>
        <v/>
      </c>
      <c r="D423" s="95">
        <f t="shared" ca="1" si="248"/>
        <v>0</v>
      </c>
      <c r="G423" s="95" t="str">
        <f>IF(B423=0,"",IF(LEFT(B423,LEN(B$9))=B$9,B$9,C$9))</f>
        <v/>
      </c>
      <c r="H423" s="95" t="str">
        <f t="shared" si="249"/>
        <v>0-0</v>
      </c>
      <c r="I423" s="95" t="str">
        <f ca="1">IF(AND(J423=Singles!$H$21,INDIRECT(ADDRESS(A423+1,6,1))=0,NOT(INDIRECT(ADDRESS(A423+1,5,1))="")),IF(D423=0,IF(H423=H441,"",G423&amp;" "&amp;H423&amp;" v "&amp;H441&amp;", "),G423&amp;" "&amp;H423&amp;" vs. "&amp;G441&amp;" "&amp;H441&amp;", "),"")</f>
        <v/>
      </c>
      <c r="J423" s="97">
        <f>Singles!H$10</f>
        <v>1</v>
      </c>
      <c r="K423" s="95" t="str">
        <f t="shared" si="250"/>
        <v>SR</v>
      </c>
      <c r="L423" s="95" t="str">
        <f t="shared" si="251"/>
        <v>0</v>
      </c>
      <c r="M423" s="95" t="str">
        <f t="shared" si="252"/>
        <v>0</v>
      </c>
      <c r="N423" s="95" t="str">
        <f t="shared" si="253"/>
        <v>0</v>
      </c>
      <c r="O423" s="95" t="str">
        <f t="shared" si="254"/>
        <v>0</v>
      </c>
      <c r="P423" s="95" t="str">
        <f t="shared" si="255"/>
        <v>0</v>
      </c>
      <c r="Q423" s="95">
        <f>IF(AND(G423=T$9,LEN(G423)&gt;1),1,0)</f>
        <v>0</v>
      </c>
      <c r="R423" s="97">
        <f>Singles!D$10</f>
        <v>8</v>
      </c>
      <c r="S423" s="95">
        <f>IF(AND(H423=H$9,LEN(H423)&gt;1,Q423=1),1,0)</f>
        <v>0</v>
      </c>
      <c r="V423" s="97">
        <f>VLOOKUP(8,X416:Y431,2,0)</f>
        <v>1</v>
      </c>
      <c r="X423" s="95">
        <f t="shared" si="256"/>
        <v>8</v>
      </c>
      <c r="Y423" s="95">
        <f t="shared" si="257"/>
        <v>1</v>
      </c>
      <c r="Z423" s="95">
        <f t="shared" si="258"/>
        <v>1</v>
      </c>
    </row>
    <row r="424" spans="1:26">
      <c r="A424" s="95">
        <v>9</v>
      </c>
      <c r="B424" s="95">
        <f>Singles!H121</f>
        <v>0</v>
      </c>
      <c r="C424" s="100" t="str">
        <f>IF(OR(LEFT(B424,LEN(B$10))=B$10,LEFT(B424,LEN(C$10))=C$10,LEN(B424)&lt;2),"","Wrong pick")</f>
        <v/>
      </c>
      <c r="D424" s="95">
        <f t="shared" ca="1" si="248"/>
        <v>0</v>
      </c>
      <c r="G424" s="95" t="str">
        <f>IF(B424=0,"",IF(LEFT(B424,LEN(B$10))=B$10,B$10,C$10))</f>
        <v/>
      </c>
      <c r="H424" s="95" t="str">
        <f t="shared" si="249"/>
        <v>0-0</v>
      </c>
      <c r="I424" s="95" t="str">
        <f ca="1">IF(AND(J424=Singles!$H$21,INDIRECT(ADDRESS(A424+1,6,1))=0,NOT(INDIRECT(ADDRESS(A424+1,5,1))="")),IF(D424=0,IF(H424=H442,"",G424&amp;" "&amp;H424&amp;" v "&amp;H442&amp;", "),G424&amp;" "&amp;H424&amp;" vs. "&amp;G442&amp;" "&amp;H442&amp;", "),"")</f>
        <v/>
      </c>
      <c r="J424" s="97">
        <f>Singles!H$11</f>
        <v>1</v>
      </c>
      <c r="K424" s="95" t="str">
        <f t="shared" si="250"/>
        <v>SR</v>
      </c>
      <c r="L424" s="95" t="str">
        <f t="shared" si="251"/>
        <v>0</v>
      </c>
      <c r="M424" s="95" t="str">
        <f t="shared" si="252"/>
        <v>0</v>
      </c>
      <c r="N424" s="95" t="str">
        <f t="shared" si="253"/>
        <v>0</v>
      </c>
      <c r="O424" s="95" t="str">
        <f t="shared" si="254"/>
        <v>0</v>
      </c>
      <c r="P424" s="95" t="str">
        <f t="shared" si="255"/>
        <v>0</v>
      </c>
      <c r="Q424" s="95">
        <f>IF(AND(G424=T$10,LEN(G424)&gt;1),1,0)</f>
        <v>0</v>
      </c>
      <c r="R424" s="97">
        <f>Singles!D$11</f>
        <v>9</v>
      </c>
      <c r="S424" s="95">
        <f>IF(AND(H424=H$10,LEN(H424)&gt;1,Q424=1),1,0)</f>
        <v>0</v>
      </c>
      <c r="T424" s="95" t="str">
        <f>VLOOKUP("Winner",T434:U450,2,0)</f>
        <v>Tied; see PTS</v>
      </c>
      <c r="U424" s="95">
        <f>VLOOKUP(T424,U434:W450,3,0)</f>
        <v>17</v>
      </c>
      <c r="V424" s="97">
        <f>VLOOKUP(9,X416:Y431,2,0)</f>
        <v>1</v>
      </c>
      <c r="X424" s="95">
        <f t="shared" si="256"/>
        <v>9</v>
      </c>
      <c r="Y424" s="95">
        <f t="shared" si="257"/>
        <v>1</v>
      </c>
      <c r="Z424" s="95">
        <f t="shared" si="258"/>
        <v>1</v>
      </c>
    </row>
    <row r="425" spans="1:26">
      <c r="A425" s="95">
        <v>10</v>
      </c>
      <c r="B425" s="95">
        <f>Singles!H122</f>
        <v>0</v>
      </c>
      <c r="C425" s="100" t="str">
        <f>IF(OR(LEFT(B425,LEN(B$11))=B$11,LEFT(B425,LEN(C$11))=C$11,LEN(B425)&lt;2),"","Wrong pick")</f>
        <v/>
      </c>
      <c r="D425" s="95">
        <f t="shared" ca="1" si="248"/>
        <v>0</v>
      </c>
      <c r="G425" s="95" t="str">
        <f>IF(B425=0,"",IF(LEFT(B425,LEN(B$11))=B$11,B$11,C$11))</f>
        <v/>
      </c>
      <c r="H425" s="95" t="str">
        <f t="shared" si="249"/>
        <v>0-0</v>
      </c>
      <c r="I425" s="95" t="str">
        <f ca="1">IF(AND(J425=Singles!$H$21,INDIRECT(ADDRESS(A425+1,6,1))=0,NOT(INDIRECT(ADDRESS(A425+1,5,1))="")),IF(D425=0,IF(H425=H443,"",G425&amp;" "&amp;H425&amp;" v "&amp;H443&amp;", "),G425&amp;" "&amp;H425&amp;" vs. "&amp;G443&amp;" "&amp;H443&amp;", "),"")</f>
        <v/>
      </c>
      <c r="J425" s="97">
        <f>Singles!H$12</f>
        <v>1</v>
      </c>
      <c r="K425" s="95" t="str">
        <f t="shared" si="250"/>
        <v>SR</v>
      </c>
      <c r="L425" s="95" t="str">
        <f t="shared" si="251"/>
        <v>0</v>
      </c>
      <c r="M425" s="95" t="str">
        <f t="shared" si="252"/>
        <v>0</v>
      </c>
      <c r="N425" s="95" t="str">
        <f t="shared" si="253"/>
        <v>0</v>
      </c>
      <c r="O425" s="95" t="str">
        <f t="shared" si="254"/>
        <v>0</v>
      </c>
      <c r="P425" s="95" t="str">
        <f t="shared" si="255"/>
        <v>0</v>
      </c>
      <c r="Q425" s="95">
        <f>IF(AND(G425=T$11,LEN(G425)&gt;1),1,0)</f>
        <v>0</v>
      </c>
      <c r="R425" s="97">
        <f>Singles!D$12</f>
        <v>10</v>
      </c>
      <c r="S425" s="95">
        <f>IF(AND(H425=H$11,LEN(H425)&gt;1,Q425=1),1,0)</f>
        <v>0</v>
      </c>
      <c r="V425" s="97">
        <f>VLOOKUP(10,X416:Y431,2,0)</f>
        <v>1</v>
      </c>
      <c r="X425" s="95">
        <f t="shared" si="256"/>
        <v>10</v>
      </c>
      <c r="Y425" s="95">
        <f t="shared" si="257"/>
        <v>1</v>
      </c>
      <c r="Z425" s="95">
        <f t="shared" si="258"/>
        <v>1</v>
      </c>
    </row>
    <row r="426" spans="1:26">
      <c r="A426" s="95">
        <v>11</v>
      </c>
      <c r="B426" s="95">
        <f>Singles!H123</f>
        <v>0</v>
      </c>
      <c r="C426" s="100" t="str">
        <f>IF(OR(LEFT(B426,LEN(B$12))=B$12,LEFT(B426,LEN(C$12))=C$12,LEN(B426)&lt;2),"","Wrong pick")</f>
        <v/>
      </c>
      <c r="D426" s="95">
        <f t="shared" ca="1" si="248"/>
        <v>0</v>
      </c>
      <c r="G426" s="95" t="str">
        <f>IF(B426=0,"",IF(LEFT(B426,LEN(B$12))=B$12,B$12,C$12))</f>
        <v/>
      </c>
      <c r="H426" s="95" t="str">
        <f t="shared" si="249"/>
        <v>0-0</v>
      </c>
      <c r="I426" s="95" t="str">
        <f ca="1">IF(AND(J426=Singles!$H$21,INDIRECT(ADDRESS(A426+1,6,1))=0,NOT(INDIRECT(ADDRESS(A426+1,5,1))="")),IF(D426=0,IF(H426=H444,"",G426&amp;" "&amp;H426&amp;" v "&amp;H444&amp;", "),G426&amp;" "&amp;H426&amp;" vs. "&amp;G444&amp;" "&amp;H444&amp;", "),"")</f>
        <v/>
      </c>
      <c r="J426" s="97">
        <f>Singles!H$13</f>
        <v>1</v>
      </c>
      <c r="K426" s="95" t="str">
        <f t="shared" si="250"/>
        <v>SR</v>
      </c>
      <c r="L426" s="95" t="str">
        <f t="shared" si="251"/>
        <v>0</v>
      </c>
      <c r="M426" s="95" t="str">
        <f t="shared" si="252"/>
        <v>0</v>
      </c>
      <c r="N426" s="95" t="str">
        <f t="shared" si="253"/>
        <v>0</v>
      </c>
      <c r="O426" s="95" t="str">
        <f t="shared" si="254"/>
        <v>0</v>
      </c>
      <c r="P426" s="95" t="str">
        <f t="shared" si="255"/>
        <v>0</v>
      </c>
      <c r="Q426" s="95">
        <f>IF(AND(G426=T$12,LEN(G426)&gt;1),1,0)</f>
        <v>0</v>
      </c>
      <c r="R426" s="97">
        <f>Singles!D$13</f>
        <v>11</v>
      </c>
      <c r="S426" s="95">
        <f>IF(AND(H426=H$12,LEN(H426)&gt;1,Q426=1),1,0)</f>
        <v>0</v>
      </c>
      <c r="V426" s="97">
        <f>VLOOKUP(11,X416:Y431,2,0)</f>
        <v>1</v>
      </c>
      <c r="X426" s="95">
        <f t="shared" si="256"/>
        <v>11</v>
      </c>
      <c r="Y426" s="95">
        <f t="shared" si="257"/>
        <v>1</v>
      </c>
      <c r="Z426" s="95">
        <f t="shared" si="258"/>
        <v>1</v>
      </c>
    </row>
    <row r="427" spans="1:26">
      <c r="A427" s="95">
        <v>12</v>
      </c>
      <c r="B427" s="95">
        <f>Singles!H124</f>
        <v>0</v>
      </c>
      <c r="C427" s="100" t="str">
        <f>IF(OR(LEFT(B427,LEN(B$13))=B$13,LEFT(B427,LEN(C$13))=C$13,LEN(B427)&lt;2),"","Wrong pick")</f>
        <v/>
      </c>
      <c r="D427" s="95">
        <f t="shared" ca="1" si="248"/>
        <v>0</v>
      </c>
      <c r="G427" s="95" t="str">
        <f>IF(B427=0,"",IF(LEFT(B427,LEN(B$13))=B$13,B$13,C$13))</f>
        <v/>
      </c>
      <c r="H427" s="95" t="str">
        <f t="shared" si="249"/>
        <v>0-0</v>
      </c>
      <c r="I427" s="95" t="str">
        <f ca="1">IF(AND(J427=Singles!$H$21,INDIRECT(ADDRESS(A427+1,6,1))=0,NOT(INDIRECT(ADDRESS(A427+1,5,1))="")),IF(D427=0,IF(H427=H445,"",G427&amp;" "&amp;H427&amp;" v "&amp;H445&amp;", "),G427&amp;" "&amp;H427&amp;" vs. "&amp;G445&amp;" "&amp;H445&amp;", "),"")</f>
        <v/>
      </c>
      <c r="J427" s="97">
        <f>Singles!H$14</f>
        <v>1</v>
      </c>
      <c r="K427" s="95" t="str">
        <f t="shared" si="250"/>
        <v>SR</v>
      </c>
      <c r="L427" s="95" t="str">
        <f t="shared" si="251"/>
        <v>0</v>
      </c>
      <c r="M427" s="95" t="str">
        <f t="shared" si="252"/>
        <v>0</v>
      </c>
      <c r="N427" s="95" t="str">
        <f t="shared" si="253"/>
        <v>0</v>
      </c>
      <c r="O427" s="95" t="str">
        <f t="shared" si="254"/>
        <v>0</v>
      </c>
      <c r="P427" s="95" t="str">
        <f t="shared" si="255"/>
        <v>0</v>
      </c>
      <c r="Q427" s="95">
        <f>IF(AND(G427=T$13,LEN(G427)&gt;1),1,0)</f>
        <v>0</v>
      </c>
      <c r="R427" s="97">
        <f>Singles!D$14</f>
        <v>12</v>
      </c>
      <c r="S427" s="95">
        <f>IF(AND(H427=H$13,LEN(H427)&gt;1,Q427=1),1,0)</f>
        <v>0</v>
      </c>
      <c r="V427" s="97">
        <f>VLOOKUP(12,X416:Y431,2,0)</f>
        <v>1</v>
      </c>
      <c r="X427" s="95">
        <f t="shared" si="256"/>
        <v>12</v>
      </c>
      <c r="Y427" s="95">
        <f t="shared" si="257"/>
        <v>1</v>
      </c>
      <c r="Z427" s="95">
        <f t="shared" si="258"/>
        <v>1</v>
      </c>
    </row>
    <row r="428" spans="1:26">
      <c r="A428" s="95">
        <v>13</v>
      </c>
      <c r="B428" s="95">
        <f>Singles!H125</f>
        <v>0</v>
      </c>
      <c r="C428" s="100" t="str">
        <f>IF(OR(LEFT(B428,LEN(B$14))=B$14,LEFT(B428,LEN(C$14))=C$14,LEN(B428)&lt;2),"","Wrong pick")</f>
        <v/>
      </c>
      <c r="D428" s="95">
        <f t="shared" ca="1" si="248"/>
        <v>0</v>
      </c>
      <c r="G428" s="95" t="str">
        <f>IF(B428=0,"",IF(LEFT(B428,LEN(B$14))=B$14,B$14,C$14))</f>
        <v/>
      </c>
      <c r="H428" s="95" t="str">
        <f t="shared" si="249"/>
        <v>0-0</v>
      </c>
      <c r="I428" s="95" t="str">
        <f ca="1">IF(AND(J428=Singles!$H$21,INDIRECT(ADDRESS(A428+1,6,1))=0,NOT(INDIRECT(ADDRESS(A428+1,5,1))="")),IF(D428=0,IF(H428=H446,"",G428&amp;" "&amp;H428&amp;" v "&amp;H446&amp;", "),G428&amp;" "&amp;H428&amp;" vs. "&amp;G446&amp;" "&amp;H446&amp;", "),"")</f>
        <v/>
      </c>
      <c r="J428" s="97">
        <f>Singles!H$15</f>
        <v>1</v>
      </c>
      <c r="K428" s="95" t="str">
        <f t="shared" si="250"/>
        <v>SR</v>
      </c>
      <c r="L428" s="95" t="str">
        <f t="shared" si="251"/>
        <v>0</v>
      </c>
      <c r="M428" s="95" t="str">
        <f t="shared" si="252"/>
        <v>0</v>
      </c>
      <c r="N428" s="95" t="str">
        <f t="shared" si="253"/>
        <v>0</v>
      </c>
      <c r="O428" s="95" t="str">
        <f t="shared" si="254"/>
        <v>0</v>
      </c>
      <c r="P428" s="95" t="str">
        <f t="shared" si="255"/>
        <v>0</v>
      </c>
      <c r="Q428" s="95">
        <f>IF(AND(G428=T$14,LEN(G428)&gt;1),1,0)</f>
        <v>0</v>
      </c>
      <c r="R428" s="97">
        <f>Singles!D$15</f>
        <v>13</v>
      </c>
      <c r="S428" s="95">
        <f>IF(AND(H428=H$14,LEN(H428)&gt;1,Q428=1),1,0)</f>
        <v>0</v>
      </c>
      <c r="V428" s="97">
        <f>VLOOKUP(13,X416:Y431,2,0)</f>
        <v>1</v>
      </c>
      <c r="X428" s="95">
        <f t="shared" si="256"/>
        <v>13</v>
      </c>
      <c r="Y428" s="95">
        <f t="shared" si="257"/>
        <v>1</v>
      </c>
      <c r="Z428" s="95">
        <f t="shared" si="258"/>
        <v>1</v>
      </c>
    </row>
    <row r="429" spans="1:26">
      <c r="A429" s="95">
        <v>14</v>
      </c>
      <c r="B429" s="95">
        <f>Singles!H126</f>
        <v>0</v>
      </c>
      <c r="C429" s="100" t="str">
        <f>IF(OR(LEFT(B429,LEN(B$15))=B$15,LEFT(B429,LEN(C$15))=C$15,LEN(B429)&lt;2),"","Wrong pick")</f>
        <v/>
      </c>
      <c r="D429" s="95">
        <f t="shared" ca="1" si="248"/>
        <v>0</v>
      </c>
      <c r="G429" s="95" t="str">
        <f>IF(B429=0,"",IF(LEFT(B429,LEN(B$15))=B$15,B$15,C$15))</f>
        <v/>
      </c>
      <c r="H429" s="95" t="str">
        <f t="shared" si="249"/>
        <v>0-0</v>
      </c>
      <c r="I429" s="95" t="str">
        <f ca="1">IF(AND(J429=Singles!$H$21,INDIRECT(ADDRESS(A429+1,6,1))=0,NOT(INDIRECT(ADDRESS(A429+1,5,1))="")),IF(D429=0,IF(H429=H447,"",G429&amp;" "&amp;H429&amp;" v "&amp;H447&amp;", "),G429&amp;" "&amp;H429&amp;" vs. "&amp;G447&amp;" "&amp;H447&amp;", "),"")</f>
        <v/>
      </c>
      <c r="J429" s="97">
        <f>Singles!H$16</f>
        <v>1</v>
      </c>
      <c r="K429" s="95" t="str">
        <f t="shared" si="250"/>
        <v>SR</v>
      </c>
      <c r="L429" s="95" t="str">
        <f t="shared" si="251"/>
        <v>0</v>
      </c>
      <c r="M429" s="95" t="str">
        <f t="shared" si="252"/>
        <v>0</v>
      </c>
      <c r="N429" s="95" t="str">
        <f t="shared" si="253"/>
        <v>0</v>
      </c>
      <c r="O429" s="95" t="str">
        <f t="shared" si="254"/>
        <v>0</v>
      </c>
      <c r="P429" s="95" t="str">
        <f t="shared" si="255"/>
        <v>0</v>
      </c>
      <c r="Q429" s="95">
        <f>IF(AND(G429=T$15,LEN(G429)&gt;1),1,0)</f>
        <v>0</v>
      </c>
      <c r="R429" s="97">
        <f>Singles!D$16</f>
        <v>14</v>
      </c>
      <c r="S429" s="95">
        <f>IF(AND(H429=H$15,LEN(H429)&gt;1,Q429=1),1,0)</f>
        <v>0</v>
      </c>
      <c r="V429" s="97">
        <f>VLOOKUP(14,X416:Y431,2,0)</f>
        <v>1</v>
      </c>
      <c r="X429" s="95">
        <f t="shared" si="256"/>
        <v>14</v>
      </c>
      <c r="Y429" s="95">
        <f t="shared" si="257"/>
        <v>1</v>
      </c>
      <c r="Z429" s="95">
        <f t="shared" si="258"/>
        <v>1</v>
      </c>
    </row>
    <row r="430" spans="1:26">
      <c r="A430" s="95">
        <v>15</v>
      </c>
      <c r="B430" s="95">
        <f>Singles!H127</f>
        <v>0</v>
      </c>
      <c r="C430" s="100" t="str">
        <f>IF(OR(LEFT(B430,LEN(B$16))=B$16,LEFT(B430,LEN(C$16))=C$16,LEN(B430)&lt;2),"","Wrong pick")</f>
        <v/>
      </c>
      <c r="D430" s="95">
        <f t="shared" ca="1" si="248"/>
        <v>0</v>
      </c>
      <c r="G430" s="95" t="str">
        <f>IF(B430=0,"",IF(LEFT(B430,LEN(B$16))=B$16,B$16,C$16))</f>
        <v/>
      </c>
      <c r="H430" s="95" t="str">
        <f t="shared" si="249"/>
        <v>0-0</v>
      </c>
      <c r="I430" s="95" t="str">
        <f ca="1">IF(AND(J430=Singles!$H$21,INDIRECT(ADDRESS(A430+1,6,1))=0,NOT(INDIRECT(ADDRESS(A430+1,5,1))="")),IF(D430=0,IF(H430=H448,"",G430&amp;" "&amp;H430&amp;" v "&amp;H448&amp;", "),G430&amp;" "&amp;H430&amp;" vs. "&amp;G448&amp;" "&amp;H448&amp;", "),"")</f>
        <v/>
      </c>
      <c r="J430" s="97">
        <f>Singles!H$17</f>
        <v>1</v>
      </c>
      <c r="K430" s="95" t="str">
        <f t="shared" si="250"/>
        <v>SR</v>
      </c>
      <c r="L430" s="95" t="str">
        <f t="shared" si="251"/>
        <v>0</v>
      </c>
      <c r="M430" s="95" t="str">
        <f t="shared" si="252"/>
        <v>0</v>
      </c>
      <c r="N430" s="95" t="str">
        <f t="shared" si="253"/>
        <v>0</v>
      </c>
      <c r="O430" s="95" t="str">
        <f t="shared" si="254"/>
        <v>0</v>
      </c>
      <c r="P430" s="95" t="str">
        <f t="shared" si="255"/>
        <v>0</v>
      </c>
      <c r="Q430" s="95">
        <f>IF(AND(G430=T$16,LEN(G430)&gt;1),1,0)</f>
        <v>0</v>
      </c>
      <c r="R430" s="97">
        <f>Singles!D$17</f>
        <v>15</v>
      </c>
      <c r="S430" s="95">
        <f>IF(AND(H430=H$16,LEN(H430)&gt;1,Q430=1),1,0)</f>
        <v>0</v>
      </c>
      <c r="V430" s="97">
        <f>VLOOKUP(15,X416:Y431,2,0)</f>
        <v>1</v>
      </c>
      <c r="X430" s="95">
        <f t="shared" si="256"/>
        <v>15</v>
      </c>
      <c r="Y430" s="95">
        <f t="shared" si="257"/>
        <v>1</v>
      </c>
      <c r="Z430" s="95">
        <f t="shared" si="258"/>
        <v>1</v>
      </c>
    </row>
    <row r="431" spans="1:26">
      <c r="A431" s="95">
        <v>16</v>
      </c>
      <c r="B431" s="95">
        <f>Singles!H128</f>
        <v>0</v>
      </c>
      <c r="C431" s="100" t="str">
        <f>IF(OR(LEFT(B431,LEN(B$17))=B$17,LEFT(B431,LEN(C$17))=C$17,LEN(B431)&lt;2),"","Wrong pick")</f>
        <v/>
      </c>
      <c r="D431" s="95">
        <f t="shared" ca="1" si="248"/>
        <v>0</v>
      </c>
      <c r="G431" s="95" t="str">
        <f>IF(B431=0,"",IF(LEFT(B431,LEN(B$17))=B$17,B$17,C$17))</f>
        <v/>
      </c>
      <c r="H431" s="95" t="str">
        <f t="shared" si="249"/>
        <v>0-0</v>
      </c>
      <c r="I431" s="95" t="str">
        <f ca="1">IF(AND(J431=Singles!$H$21,INDIRECT(ADDRESS(A431+1,6,1))=0,NOT(INDIRECT(ADDRESS(A431+1,5,1))="")),IF(D431=0,IF(H431=H449,"",G431&amp;" "&amp;H431&amp;" v "&amp;H449&amp;", "),G431&amp;" "&amp;H431&amp;" vs. "&amp;G449&amp;" "&amp;H449&amp;", "),"")</f>
        <v/>
      </c>
      <c r="J431" s="97">
        <f>Singles!H$18</f>
        <v>1</v>
      </c>
      <c r="K431" s="95" t="str">
        <f t="shared" si="250"/>
        <v>SR</v>
      </c>
      <c r="L431" s="95" t="str">
        <f t="shared" si="251"/>
        <v>0</v>
      </c>
      <c r="M431" s="95" t="str">
        <f t="shared" si="252"/>
        <v>0</v>
      </c>
      <c r="N431" s="95" t="str">
        <f t="shared" si="253"/>
        <v>0</v>
      </c>
      <c r="O431" s="95" t="str">
        <f t="shared" si="254"/>
        <v>0</v>
      </c>
      <c r="P431" s="95" t="str">
        <f t="shared" si="255"/>
        <v>0</v>
      </c>
      <c r="Q431" s="95">
        <f>IF(AND(G431=T$17,LEN(G431)&gt;1),1,0)</f>
        <v>0</v>
      </c>
      <c r="R431" s="97">
        <f>Singles!D$18</f>
        <v>16</v>
      </c>
      <c r="S431" s="95">
        <f>IF(AND(H431=H$17,LEN(H431)&gt;1,Q431=1),1,0)</f>
        <v>0</v>
      </c>
      <c r="V431" s="97">
        <f>VLOOKUP(16,X416:Y431,2,0)</f>
        <v>1</v>
      </c>
      <c r="X431" s="95">
        <f t="shared" si="256"/>
        <v>16</v>
      </c>
      <c r="Y431" s="95">
        <f t="shared" si="257"/>
        <v>1</v>
      </c>
      <c r="Z431" s="95">
        <f t="shared" si="258"/>
        <v>1</v>
      </c>
    </row>
    <row r="433" spans="1:26">
      <c r="A433" s="95" t="e">
        <f>IF(LEN(VLOOKUP(B433,Singles!$A$2:$B$33,2,0))&gt;0,VLOOKUP(B433,Singles!$A$2:$B$33,2,0),"")</f>
        <v>#N/A</v>
      </c>
      <c r="B433" s="96">
        <f>Singles!I112</f>
        <v>0</v>
      </c>
      <c r="C433" s="96">
        <v>24</v>
      </c>
      <c r="D433" s="95" t="e">
        <f>VLOOKUP(B433,Singles!$A$2:$C$33,3,0)</f>
        <v>#N/A</v>
      </c>
      <c r="J433" s="95" t="s">
        <v>88</v>
      </c>
      <c r="Q433" s="95" t="s">
        <v>121</v>
      </c>
      <c r="S433" s="95" t="s">
        <v>122</v>
      </c>
      <c r="T433" s="95" t="e">
        <f>IF(LEN(A433)&gt;0,"("&amp;A433&amp;") "&amp;B433,B433)&amp;IF(LEN(D433)&gt;1," ("&amp;D433&amp;")","")</f>
        <v>#N/A</v>
      </c>
      <c r="V433" s="95" t="s">
        <v>123</v>
      </c>
      <c r="Y433" s="95" t="s">
        <v>123</v>
      </c>
    </row>
    <row r="434" spans="1:26">
      <c r="A434" s="95">
        <v>1</v>
      </c>
      <c r="B434" s="95">
        <f>Singles!I113</f>
        <v>0</v>
      </c>
      <c r="C434" s="99" t="str">
        <f>IF(OR(LEFT(B434,LEN(B$2))=B$2,LEFT(B434,LEN(C$2))=C$2,LEN(B434)&lt;2),"","Wrong pick")</f>
        <v/>
      </c>
      <c r="E434" s="95" t="str">
        <f ca="1">IF(AND(D416=1,J434=$I$2),G434&amp;", ","")&amp;IF(AND(D417=1,J435=$I$2),G435&amp;", ","")&amp;IF(AND(D418=1,J436=$I$2),G436&amp;", ","")&amp;IF(AND(D419=1,J437=$I$2),G437&amp;", ","")&amp;IF(AND(D420=1,J438=$I$2),G438&amp;", ","")&amp;IF(AND(D421=1,J439=$I$2),G439&amp;", ","")&amp;IF(AND(D422=1,J440=$I$2),G440&amp;", ","")&amp;IF(AND(D423=1,J441=$I$2),G441&amp;", ","")&amp;IF(AND(D424=1,J442=$I$2),G442&amp;", ","")&amp;IF(AND(D425=1,J443=$I$2),G443&amp;", ","")&amp;IF(AND(D426=1,J444=$I$2),G444&amp;", ","")&amp;IF(AND(D427=1,J445=$I$2),G445&amp;", ","")&amp;IF(AND(D428=1,J446=$I$2),G446&amp;", ","")&amp;IF(AND(D429=1,J447=$I$2),G447&amp;", ","")&amp;IF(AND(D430=1,J448=$I$2),G448&amp;", ","")&amp;IF(AND(D431=1,J449=$I$2),G449&amp;", ","")</f>
        <v/>
      </c>
      <c r="F434" s="95" t="str">
        <f>IF(AND(SUM(Z434:Z449)=$I$4,NOT(B433="Bye")),"Missing picks from "&amp;B433&amp;" ","")</f>
        <v xml:space="preserve">Missing picks from 0 </v>
      </c>
      <c r="G434" s="95" t="str">
        <f>IF(B434=0,"",IF(LEFT(B434,LEN(B$2))=B$2,B$2,C$2))</f>
        <v/>
      </c>
      <c r="H434" s="95" t="str">
        <f t="shared" ref="H434:H449" si="259">IF(L434="","",IF(K434="PTS",IF(LEN(O434)&lt;8,"2-0","2-1"),LEFT(O434,1)&amp;"-"&amp;RIGHT(O434,1)))</f>
        <v>0-0</v>
      </c>
      <c r="J434" s="97">
        <f>Singles!H$3</f>
        <v>1</v>
      </c>
      <c r="K434" s="95" t="str">
        <f t="shared" ref="K434:K449" si="260">IF(LEN(L434)&gt;0,IF(LEN(O434)&lt;4,"SR","PTS"),"")</f>
        <v>SR</v>
      </c>
      <c r="L434" s="95" t="str">
        <f t="shared" ref="L434:L449" si="261">TRIM(RIGHT(B434,LEN(B434)-LEN(G434)))</f>
        <v>0</v>
      </c>
      <c r="M434" s="95" t="str">
        <f t="shared" ref="M434:M449" si="262">SUBSTITUTE(L434,"-","")</f>
        <v>0</v>
      </c>
      <c r="N434" s="95" t="str">
        <f t="shared" ref="N434:N449" si="263">SUBSTITUTE(M434,","," ")</f>
        <v>0</v>
      </c>
      <c r="O434" s="95" t="str">
        <f t="shared" ref="O434:O449" si="264">IF(AND(LEN(TRIM(SUBSTITUTE(P434,"/","")))&gt;6,OR(LEFT(TRIM(SUBSTITUTE(P434,"/","")),2)="20",LEFT(TRIM(SUBSTITUTE(P434,"/","")),2)="21")),RIGHT(TRIM(SUBSTITUTE(P434,"/","")),LEN(TRIM(SUBSTITUTE(P434,"/","")))-3),TRIM(SUBSTITUTE(P434,"/","")))</f>
        <v>0</v>
      </c>
      <c r="P434" s="95" t="str">
        <f t="shared" ref="P434:P449" si="265">SUBSTITUTE(N434,":","")</f>
        <v>0</v>
      </c>
      <c r="Q434" s="95">
        <f>IF(AND(G434=T$2,LEN(G434)&gt;1),1,0)</f>
        <v>0</v>
      </c>
      <c r="R434" s="97">
        <f>Singles!D$3</f>
        <v>1</v>
      </c>
      <c r="S434" s="95">
        <f>IF(AND(H434=H$2,LEN(H434)&gt;1,Q434=1),1,0)</f>
        <v>0</v>
      </c>
      <c r="T434" s="95" t="str">
        <f t="shared" ref="T434:T449" si="266">IF(V416=V434,"No","Winner")</f>
        <v>No</v>
      </c>
      <c r="U434" s="95" t="str">
        <f>IF(T434="Winner",IF(V434&gt;V416,B433,B415),"")</f>
        <v/>
      </c>
      <c r="V434" s="97">
        <f>VLOOKUP(1,X434:Y449,2,0)</f>
        <v>1</v>
      </c>
      <c r="W434" s="95">
        <v>1</v>
      </c>
      <c r="X434" s="95">
        <f t="shared" ref="X434:X449" si="267">R434</f>
        <v>1</v>
      </c>
      <c r="Y434" s="95">
        <f t="shared" ref="Y434:Y449" si="268">IF(Q434=1,IF(S434=1,4,3),IF(H434="2-1",2,1))</f>
        <v>1</v>
      </c>
      <c r="Z434" s="95">
        <f t="shared" ref="Z434:Z449" si="269">IF(AND($I$2=J434,B434=0),1,0)</f>
        <v>1</v>
      </c>
    </row>
    <row r="435" spans="1:26">
      <c r="A435" s="95">
        <v>2</v>
      </c>
      <c r="B435" s="95">
        <f>Singles!I114</f>
        <v>0</v>
      </c>
      <c r="C435" s="100" t="str">
        <f>IF(OR(LEFT(B435,LEN(B$3))=B$3,LEFT(B435,LEN(C$3))=C$3,LEN(B435)&lt;2),"","Wrong pick")</f>
        <v/>
      </c>
      <c r="G435" s="95" t="str">
        <f>IF(B435=0,"",IF(LEFT(B435,LEN(B$3))=B$3,B$3,C$3))</f>
        <v/>
      </c>
      <c r="H435" s="95" t="str">
        <f t="shared" si="259"/>
        <v>0-0</v>
      </c>
      <c r="J435" s="97">
        <f>Singles!H$4</f>
        <v>1</v>
      </c>
      <c r="K435" s="95" t="str">
        <f t="shared" si="260"/>
        <v>SR</v>
      </c>
      <c r="L435" s="95" t="str">
        <f t="shared" si="261"/>
        <v>0</v>
      </c>
      <c r="M435" s="95" t="str">
        <f t="shared" si="262"/>
        <v>0</v>
      </c>
      <c r="N435" s="95" t="str">
        <f t="shared" si="263"/>
        <v>0</v>
      </c>
      <c r="O435" s="95" t="str">
        <f t="shared" si="264"/>
        <v>0</v>
      </c>
      <c r="P435" s="95" t="str">
        <f t="shared" si="265"/>
        <v>0</v>
      </c>
      <c r="Q435" s="95">
        <f>IF(AND(G435=T$3,LEN(G435)&gt;1),1,0)</f>
        <v>0</v>
      </c>
      <c r="R435" s="97">
        <f>Singles!D$4</f>
        <v>2</v>
      </c>
      <c r="S435" s="95">
        <f>IF(AND(H435=H$3,LEN(H435)&gt;1,Q435=1),1,0)</f>
        <v>0</v>
      </c>
      <c r="T435" s="95" t="str">
        <f t="shared" si="266"/>
        <v>No</v>
      </c>
      <c r="U435" s="95" t="str">
        <f>IF(T435="Winner",IF(V435&gt;V417,B433,B415),"")</f>
        <v/>
      </c>
      <c r="V435" s="97">
        <f>VLOOKUP(2,X434:Y449,2,0)</f>
        <v>1</v>
      </c>
      <c r="W435" s="95">
        <v>2</v>
      </c>
      <c r="X435" s="95">
        <f t="shared" si="267"/>
        <v>2</v>
      </c>
      <c r="Y435" s="95">
        <f t="shared" si="268"/>
        <v>1</v>
      </c>
      <c r="Z435" s="95">
        <f t="shared" si="269"/>
        <v>1</v>
      </c>
    </row>
    <row r="436" spans="1:26">
      <c r="A436" s="95">
        <v>3</v>
      </c>
      <c r="B436" s="95">
        <f>Singles!I115</f>
        <v>0</v>
      </c>
      <c r="C436" s="100" t="str">
        <f>IF(OR(LEFT(B436,LEN(B$4))=B$4,LEFT(B436,LEN(C$4))=C$4,LEN(B436)&lt;2),"","Wrong pick")</f>
        <v/>
      </c>
      <c r="G436" s="95" t="str">
        <f>IF(B436=0,"",IF(LEFT(B436,LEN(B$4))=B$4,B$4,C$4))</f>
        <v/>
      </c>
      <c r="H436" s="95" t="str">
        <f t="shared" si="259"/>
        <v>0-0</v>
      </c>
      <c r="J436" s="97">
        <f>Singles!H$5</f>
        <v>1</v>
      </c>
      <c r="K436" s="95" t="str">
        <f t="shared" si="260"/>
        <v>SR</v>
      </c>
      <c r="L436" s="95" t="str">
        <f t="shared" si="261"/>
        <v>0</v>
      </c>
      <c r="M436" s="95" t="str">
        <f t="shared" si="262"/>
        <v>0</v>
      </c>
      <c r="N436" s="95" t="str">
        <f t="shared" si="263"/>
        <v>0</v>
      </c>
      <c r="O436" s="95" t="str">
        <f t="shared" si="264"/>
        <v>0</v>
      </c>
      <c r="P436" s="95" t="str">
        <f t="shared" si="265"/>
        <v>0</v>
      </c>
      <c r="Q436" s="95">
        <f>IF(AND(G436=T$4,LEN(G436)&gt;1),1,0)</f>
        <v>0</v>
      </c>
      <c r="R436" s="97">
        <f>Singles!D$5</f>
        <v>3</v>
      </c>
      <c r="S436" s="95">
        <f>IF(AND(H436=H$4,LEN(H436)&gt;1,Q436=1),1,0)</f>
        <v>0</v>
      </c>
      <c r="T436" s="95" t="str">
        <f t="shared" si="266"/>
        <v>No</v>
      </c>
      <c r="U436" s="95" t="str">
        <f>IF(T436="Winner",IF(V436&gt;V418,B433,B415),"")</f>
        <v/>
      </c>
      <c r="V436" s="97">
        <f>VLOOKUP(3,X434:Y449,2,0)</f>
        <v>1</v>
      </c>
      <c r="W436" s="95">
        <v>3</v>
      </c>
      <c r="X436" s="95">
        <f t="shared" si="267"/>
        <v>3</v>
      </c>
      <c r="Y436" s="95">
        <f t="shared" si="268"/>
        <v>1</v>
      </c>
      <c r="Z436" s="95">
        <f t="shared" si="269"/>
        <v>1</v>
      </c>
    </row>
    <row r="437" spans="1:26">
      <c r="A437" s="95">
        <v>4</v>
      </c>
      <c r="B437" s="95">
        <f>Singles!I116</f>
        <v>0</v>
      </c>
      <c r="C437" s="100" t="str">
        <f>IF(OR(LEFT(B437,LEN(B$5))=B$5,LEFT(B437,LEN(C$5))=C$5,LEN(B437)&lt;2),"","Wrong pick")</f>
        <v/>
      </c>
      <c r="G437" s="95" t="str">
        <f>IF(B437=0,"",IF(LEFT(B437,LEN(B$5))=B$5,B$5,C$5))</f>
        <v/>
      </c>
      <c r="H437" s="95" t="str">
        <f t="shared" si="259"/>
        <v>0-0</v>
      </c>
      <c r="J437" s="97">
        <f>Singles!H$6</f>
        <v>1</v>
      </c>
      <c r="K437" s="95" t="str">
        <f t="shared" si="260"/>
        <v>SR</v>
      </c>
      <c r="L437" s="95" t="str">
        <f t="shared" si="261"/>
        <v>0</v>
      </c>
      <c r="M437" s="95" t="str">
        <f t="shared" si="262"/>
        <v>0</v>
      </c>
      <c r="N437" s="95" t="str">
        <f t="shared" si="263"/>
        <v>0</v>
      </c>
      <c r="O437" s="95" t="str">
        <f t="shared" si="264"/>
        <v>0</v>
      </c>
      <c r="P437" s="95" t="str">
        <f t="shared" si="265"/>
        <v>0</v>
      </c>
      <c r="Q437" s="95">
        <f>IF(AND(G437=T$5,LEN(G437)&gt;1),1,0)</f>
        <v>0</v>
      </c>
      <c r="R437" s="97">
        <f>Singles!D$6</f>
        <v>4</v>
      </c>
      <c r="S437" s="95">
        <f>IF(AND(H437=H$5,LEN(H437)&gt;1,Q437=1),1,0)</f>
        <v>0</v>
      </c>
      <c r="T437" s="95" t="str">
        <f t="shared" si="266"/>
        <v>No</v>
      </c>
      <c r="U437" s="95" t="str">
        <f>IF(T437="Winner",IF(V437&gt;V419,B433,B415),"")</f>
        <v/>
      </c>
      <c r="V437" s="97">
        <f>VLOOKUP(4,X434:Y449,2,0)</f>
        <v>1</v>
      </c>
      <c r="W437" s="95">
        <v>4</v>
      </c>
      <c r="X437" s="95">
        <f t="shared" si="267"/>
        <v>4</v>
      </c>
      <c r="Y437" s="95">
        <f t="shared" si="268"/>
        <v>1</v>
      </c>
      <c r="Z437" s="95">
        <f t="shared" si="269"/>
        <v>1</v>
      </c>
    </row>
    <row r="438" spans="1:26">
      <c r="A438" s="95">
        <v>5</v>
      </c>
      <c r="B438" s="95">
        <f>Singles!I117</f>
        <v>0</v>
      </c>
      <c r="C438" s="100" t="str">
        <f>IF(OR(LEFT(B438,LEN(B$6))=B$6,LEFT(B438,LEN(C$6))=C$6,LEN(B438)&lt;2),"","Wrong pick")</f>
        <v/>
      </c>
      <c r="G438" s="95" t="str">
        <f>IF(B438=0,"",IF(LEFT(B438,LEN(B$6))=B$6,B$6,C$6))</f>
        <v/>
      </c>
      <c r="H438" s="95" t="str">
        <f t="shared" si="259"/>
        <v>0-0</v>
      </c>
      <c r="J438" s="97">
        <f>Singles!H$7</f>
        <v>1</v>
      </c>
      <c r="K438" s="95" t="str">
        <f t="shared" si="260"/>
        <v>SR</v>
      </c>
      <c r="L438" s="95" t="str">
        <f t="shared" si="261"/>
        <v>0</v>
      </c>
      <c r="M438" s="95" t="str">
        <f t="shared" si="262"/>
        <v>0</v>
      </c>
      <c r="N438" s="95" t="str">
        <f t="shared" si="263"/>
        <v>0</v>
      </c>
      <c r="O438" s="95" t="str">
        <f t="shared" si="264"/>
        <v>0</v>
      </c>
      <c r="P438" s="95" t="str">
        <f t="shared" si="265"/>
        <v>0</v>
      </c>
      <c r="Q438" s="95">
        <f>IF(AND(G438=T$6,LEN(G438)&gt;1),1,0)</f>
        <v>0</v>
      </c>
      <c r="R438" s="97">
        <f>Singles!D$7</f>
        <v>5</v>
      </c>
      <c r="S438" s="95">
        <f>IF(AND(H438=H$6,LEN(H438)&gt;1,Q438=1),1,0)</f>
        <v>0</v>
      </c>
      <c r="T438" s="95" t="str">
        <f t="shared" si="266"/>
        <v>No</v>
      </c>
      <c r="U438" s="95" t="str">
        <f>IF(T438="Winner",IF(V438&gt;V420,B433,B415),"")</f>
        <v/>
      </c>
      <c r="V438" s="97">
        <f>VLOOKUP(5,X434:Y449,2,0)</f>
        <v>1</v>
      </c>
      <c r="W438" s="95">
        <v>5</v>
      </c>
      <c r="X438" s="95">
        <f t="shared" si="267"/>
        <v>5</v>
      </c>
      <c r="Y438" s="95">
        <f t="shared" si="268"/>
        <v>1</v>
      </c>
      <c r="Z438" s="95">
        <f t="shared" si="269"/>
        <v>1</v>
      </c>
    </row>
    <row r="439" spans="1:26">
      <c r="A439" s="95">
        <v>6</v>
      </c>
      <c r="B439" s="95">
        <f>Singles!I118</f>
        <v>0</v>
      </c>
      <c r="C439" s="100" t="str">
        <f>IF(OR(LEFT(B439,LEN(B$7))=B$7,LEFT(B439,LEN(C$7))=C$7,LEN(B439)&lt;2),"","Wrong pick")</f>
        <v/>
      </c>
      <c r="G439" s="95" t="str">
        <f>IF(B439=0,"",IF(LEFT(B439,LEN(B$7))=B$7,B$7,C$7))</f>
        <v/>
      </c>
      <c r="H439" s="95" t="str">
        <f t="shared" si="259"/>
        <v>0-0</v>
      </c>
      <c r="J439" s="97">
        <f>Singles!H$8</f>
        <v>1</v>
      </c>
      <c r="K439" s="95" t="str">
        <f t="shared" si="260"/>
        <v>SR</v>
      </c>
      <c r="L439" s="95" t="str">
        <f t="shared" si="261"/>
        <v>0</v>
      </c>
      <c r="M439" s="95" t="str">
        <f t="shared" si="262"/>
        <v>0</v>
      </c>
      <c r="N439" s="95" t="str">
        <f t="shared" si="263"/>
        <v>0</v>
      </c>
      <c r="O439" s="95" t="str">
        <f t="shared" si="264"/>
        <v>0</v>
      </c>
      <c r="P439" s="95" t="str">
        <f t="shared" si="265"/>
        <v>0</v>
      </c>
      <c r="Q439" s="95">
        <f>IF(AND(G439=T$7,LEN(G439)&gt;1),1,0)</f>
        <v>0</v>
      </c>
      <c r="R439" s="97">
        <f>Singles!D$8</f>
        <v>6</v>
      </c>
      <c r="S439" s="95">
        <f>IF(AND(H439=H$7,LEN(H439)&gt;1,Q439=1),1,0)</f>
        <v>0</v>
      </c>
      <c r="T439" s="95" t="str">
        <f t="shared" si="266"/>
        <v>No</v>
      </c>
      <c r="U439" s="95" t="str">
        <f>IF(T439="Winner",IF(V439&gt;V421,B433,B415),"")</f>
        <v/>
      </c>
      <c r="V439" s="97">
        <f>VLOOKUP(6,X434:Y449,2,0)</f>
        <v>1</v>
      </c>
      <c r="W439" s="95">
        <v>6</v>
      </c>
      <c r="X439" s="95">
        <f t="shared" si="267"/>
        <v>6</v>
      </c>
      <c r="Y439" s="95">
        <f t="shared" si="268"/>
        <v>1</v>
      </c>
      <c r="Z439" s="95">
        <f t="shared" si="269"/>
        <v>1</v>
      </c>
    </row>
    <row r="440" spans="1:26">
      <c r="A440" s="95">
        <v>7</v>
      </c>
      <c r="B440" s="95">
        <f>Singles!I119</f>
        <v>0</v>
      </c>
      <c r="C440" s="100" t="str">
        <f>IF(OR(LEFT(B440,LEN(B$8))=B$8,LEFT(B440,LEN(C$8))=C$8,LEN(B440)&lt;2),"","Wrong pick")</f>
        <v/>
      </c>
      <c r="G440" s="95" t="str">
        <f>IF(B440=0,"",IF(LEFT(B440,LEN(B$8))=B$8,B$8,C$8))</f>
        <v/>
      </c>
      <c r="H440" s="95" t="str">
        <f t="shared" si="259"/>
        <v>0-0</v>
      </c>
      <c r="J440" s="97">
        <f>Singles!H$9</f>
        <v>1</v>
      </c>
      <c r="K440" s="95" t="str">
        <f t="shared" si="260"/>
        <v>SR</v>
      </c>
      <c r="L440" s="95" t="str">
        <f t="shared" si="261"/>
        <v>0</v>
      </c>
      <c r="M440" s="95" t="str">
        <f t="shared" si="262"/>
        <v>0</v>
      </c>
      <c r="N440" s="95" t="str">
        <f t="shared" si="263"/>
        <v>0</v>
      </c>
      <c r="O440" s="95" t="str">
        <f t="shared" si="264"/>
        <v>0</v>
      </c>
      <c r="P440" s="95" t="str">
        <f t="shared" si="265"/>
        <v>0</v>
      </c>
      <c r="Q440" s="95">
        <f>IF(AND(G440=T$8,LEN(G440)&gt;1),1,0)</f>
        <v>0</v>
      </c>
      <c r="R440" s="97">
        <f>Singles!D$9</f>
        <v>7</v>
      </c>
      <c r="S440" s="95">
        <f>IF(AND(H440=H$8,LEN(H440)&gt;1,Q440=1),1,0)</f>
        <v>0</v>
      </c>
      <c r="T440" s="95" t="str">
        <f t="shared" si="266"/>
        <v>No</v>
      </c>
      <c r="U440" s="95" t="str">
        <f>IF(T440="Winner",IF(V440&gt;V422,B433,B415),"")</f>
        <v/>
      </c>
      <c r="V440" s="97">
        <f>VLOOKUP(7,X434:Y449,2,0)</f>
        <v>1</v>
      </c>
      <c r="W440" s="95">
        <v>7</v>
      </c>
      <c r="X440" s="95">
        <f t="shared" si="267"/>
        <v>7</v>
      </c>
      <c r="Y440" s="95">
        <f t="shared" si="268"/>
        <v>1</v>
      </c>
      <c r="Z440" s="95">
        <f t="shared" si="269"/>
        <v>1</v>
      </c>
    </row>
    <row r="441" spans="1:26">
      <c r="A441" s="95">
        <v>8</v>
      </c>
      <c r="B441" s="95">
        <f>Singles!I120</f>
        <v>0</v>
      </c>
      <c r="C441" s="100" t="str">
        <f>IF(OR(LEFT(B441,LEN(B$9))=B$9,LEFT(B441,LEN(C$9))=C$9,LEN(B441)&lt;2),"","Wrong pick")</f>
        <v/>
      </c>
      <c r="G441" s="95" t="str">
        <f>IF(B441=0,"",IF(LEFT(B441,LEN(B$9))=B$9,B$9,C$9))</f>
        <v/>
      </c>
      <c r="H441" s="95" t="str">
        <f t="shared" si="259"/>
        <v>0-0</v>
      </c>
      <c r="J441" s="97">
        <f>Singles!H$10</f>
        <v>1</v>
      </c>
      <c r="K441" s="95" t="str">
        <f t="shared" si="260"/>
        <v>SR</v>
      </c>
      <c r="L441" s="95" t="str">
        <f t="shared" si="261"/>
        <v>0</v>
      </c>
      <c r="M441" s="95" t="str">
        <f t="shared" si="262"/>
        <v>0</v>
      </c>
      <c r="N441" s="95" t="str">
        <f t="shared" si="263"/>
        <v>0</v>
      </c>
      <c r="O441" s="95" t="str">
        <f t="shared" si="264"/>
        <v>0</v>
      </c>
      <c r="P441" s="95" t="str">
        <f t="shared" si="265"/>
        <v>0</v>
      </c>
      <c r="Q441" s="95">
        <f>IF(AND(G441=T$9,LEN(G441)&gt;1),1,0)</f>
        <v>0</v>
      </c>
      <c r="R441" s="97">
        <f>Singles!D$10</f>
        <v>8</v>
      </c>
      <c r="S441" s="95">
        <f>IF(AND(H441=H$9,LEN(H441)&gt;1,Q441=1),1,0)</f>
        <v>0</v>
      </c>
      <c r="T441" s="95" t="str">
        <f t="shared" si="266"/>
        <v>No</v>
      </c>
      <c r="U441" s="95" t="str">
        <f>IF(T441="Winner",IF(V441&gt;V423,B433,B415),"")</f>
        <v/>
      </c>
      <c r="V441" s="97">
        <f>VLOOKUP(8,X434:Y449,2,0)</f>
        <v>1</v>
      </c>
      <c r="W441" s="95">
        <v>8</v>
      </c>
      <c r="X441" s="95">
        <f t="shared" si="267"/>
        <v>8</v>
      </c>
      <c r="Y441" s="95">
        <f t="shared" si="268"/>
        <v>1</v>
      </c>
      <c r="Z441" s="95">
        <f t="shared" si="269"/>
        <v>1</v>
      </c>
    </row>
    <row r="442" spans="1:26">
      <c r="A442" s="95">
        <v>9</v>
      </c>
      <c r="B442" s="95">
        <f>Singles!I121</f>
        <v>0</v>
      </c>
      <c r="C442" s="100" t="str">
        <f>IF(OR(LEFT(B442,LEN(B$10))=B$10,LEFT(B442,LEN(C$10))=C$10,LEN(B442)&lt;2),"","Wrong pick")</f>
        <v/>
      </c>
      <c r="G442" s="95" t="str">
        <f>IF(B442=0,"",IF(LEFT(B442,LEN(B$10))=B$10,B$10,C$10))</f>
        <v/>
      </c>
      <c r="H442" s="95" t="str">
        <f t="shared" si="259"/>
        <v>0-0</v>
      </c>
      <c r="J442" s="97">
        <f>Singles!H$11</f>
        <v>1</v>
      </c>
      <c r="K442" s="95" t="str">
        <f t="shared" si="260"/>
        <v>SR</v>
      </c>
      <c r="L442" s="95" t="str">
        <f t="shared" si="261"/>
        <v>0</v>
      </c>
      <c r="M442" s="95" t="str">
        <f t="shared" si="262"/>
        <v>0</v>
      </c>
      <c r="N442" s="95" t="str">
        <f t="shared" si="263"/>
        <v>0</v>
      </c>
      <c r="O442" s="95" t="str">
        <f t="shared" si="264"/>
        <v>0</v>
      </c>
      <c r="P442" s="95" t="str">
        <f t="shared" si="265"/>
        <v>0</v>
      </c>
      <c r="Q442" s="95">
        <f>IF(AND(G442=T$10,LEN(G442)&gt;1),1,0)</f>
        <v>0</v>
      </c>
      <c r="R442" s="97">
        <f>Singles!D$11</f>
        <v>9</v>
      </c>
      <c r="S442" s="95">
        <f>IF(AND(H442=H$10,LEN(H442)&gt;1,Q442=1),1,0)</f>
        <v>0</v>
      </c>
      <c r="T442" s="95" t="str">
        <f t="shared" si="266"/>
        <v>No</v>
      </c>
      <c r="U442" s="95" t="str">
        <f>IF(T442="Winner",IF(V442&gt;V424,B433,B415),"")</f>
        <v/>
      </c>
      <c r="V442" s="97">
        <f>VLOOKUP(9,X434:Y449,2,0)</f>
        <v>1</v>
      </c>
      <c r="W442" s="95">
        <v>9</v>
      </c>
      <c r="X442" s="95">
        <f t="shared" si="267"/>
        <v>9</v>
      </c>
      <c r="Y442" s="95">
        <f t="shared" si="268"/>
        <v>1</v>
      </c>
      <c r="Z442" s="95">
        <f t="shared" si="269"/>
        <v>1</v>
      </c>
    </row>
    <row r="443" spans="1:26">
      <c r="A443" s="95">
        <v>10</v>
      </c>
      <c r="B443" s="95">
        <f>Singles!I122</f>
        <v>0</v>
      </c>
      <c r="C443" s="100" t="str">
        <f>IF(OR(LEFT(B443,LEN(B$11))=B$11,LEFT(B443,LEN(C$11))=C$11,LEN(B443)&lt;2),"","Wrong pick")</f>
        <v/>
      </c>
      <c r="G443" s="95" t="str">
        <f>IF(B443=0,"",IF(LEFT(B443,LEN(B$11))=B$11,B$11,C$11))</f>
        <v/>
      </c>
      <c r="H443" s="95" t="str">
        <f t="shared" si="259"/>
        <v>0-0</v>
      </c>
      <c r="J443" s="97">
        <f>Singles!H$12</f>
        <v>1</v>
      </c>
      <c r="K443" s="95" t="str">
        <f t="shared" si="260"/>
        <v>SR</v>
      </c>
      <c r="L443" s="95" t="str">
        <f t="shared" si="261"/>
        <v>0</v>
      </c>
      <c r="M443" s="95" t="str">
        <f t="shared" si="262"/>
        <v>0</v>
      </c>
      <c r="N443" s="95" t="str">
        <f t="shared" si="263"/>
        <v>0</v>
      </c>
      <c r="O443" s="95" t="str">
        <f t="shared" si="264"/>
        <v>0</v>
      </c>
      <c r="P443" s="95" t="str">
        <f t="shared" si="265"/>
        <v>0</v>
      </c>
      <c r="Q443" s="95">
        <f>IF(AND(G443=T$11,LEN(G443)&gt;1),1,0)</f>
        <v>0</v>
      </c>
      <c r="R443" s="97">
        <f>Singles!D$12</f>
        <v>10</v>
      </c>
      <c r="S443" s="95">
        <f>IF(AND(H443=H$11,LEN(H443)&gt;1,Q443=1),1,0)</f>
        <v>0</v>
      </c>
      <c r="T443" s="95" t="str">
        <f t="shared" si="266"/>
        <v>No</v>
      </c>
      <c r="U443" s="95" t="str">
        <f>IF(T443="Winner",IF(V443&gt;V425,B433,B415),"")</f>
        <v/>
      </c>
      <c r="V443" s="97">
        <f>VLOOKUP(10,X434:Y449,2,0)</f>
        <v>1</v>
      </c>
      <c r="W443" s="95">
        <v>10</v>
      </c>
      <c r="X443" s="95">
        <f t="shared" si="267"/>
        <v>10</v>
      </c>
      <c r="Y443" s="95">
        <f t="shared" si="268"/>
        <v>1</v>
      </c>
      <c r="Z443" s="95">
        <f t="shared" si="269"/>
        <v>1</v>
      </c>
    </row>
    <row r="444" spans="1:26">
      <c r="A444" s="95">
        <v>11</v>
      </c>
      <c r="B444" s="95">
        <f>Singles!I123</f>
        <v>0</v>
      </c>
      <c r="C444" s="100" t="str">
        <f>IF(OR(LEFT(B444,LEN(B$12))=B$12,LEFT(B444,LEN(C$12))=C$12,LEN(B444)&lt;2),"","Wrong pick")</f>
        <v/>
      </c>
      <c r="G444" s="95" t="str">
        <f>IF(B444=0,"",IF(LEFT(B444,LEN(B$12))=B$12,B$12,C$12))</f>
        <v/>
      </c>
      <c r="H444" s="95" t="str">
        <f t="shared" si="259"/>
        <v>0-0</v>
      </c>
      <c r="J444" s="97">
        <f>Singles!H$13</f>
        <v>1</v>
      </c>
      <c r="K444" s="95" t="str">
        <f t="shared" si="260"/>
        <v>SR</v>
      </c>
      <c r="L444" s="95" t="str">
        <f t="shared" si="261"/>
        <v>0</v>
      </c>
      <c r="M444" s="95" t="str">
        <f t="shared" si="262"/>
        <v>0</v>
      </c>
      <c r="N444" s="95" t="str">
        <f t="shared" si="263"/>
        <v>0</v>
      </c>
      <c r="O444" s="95" t="str">
        <f t="shared" si="264"/>
        <v>0</v>
      </c>
      <c r="P444" s="95" t="str">
        <f t="shared" si="265"/>
        <v>0</v>
      </c>
      <c r="Q444" s="95">
        <f>IF(AND(G444=T$12,LEN(G444)&gt;1),1,0)</f>
        <v>0</v>
      </c>
      <c r="R444" s="97">
        <f>Singles!D$13</f>
        <v>11</v>
      </c>
      <c r="S444" s="95">
        <f>IF(AND(H444=H$12,LEN(H444)&gt;1,Q444=1),1,0)</f>
        <v>0</v>
      </c>
      <c r="T444" s="95" t="str">
        <f t="shared" si="266"/>
        <v>No</v>
      </c>
      <c r="U444" s="95" t="str">
        <f>IF(T444="Winner",IF(V444&gt;V426,B433,B415),"")</f>
        <v/>
      </c>
      <c r="V444" s="97">
        <f>VLOOKUP(11,X434:Y449,2,0)</f>
        <v>1</v>
      </c>
      <c r="W444" s="95">
        <v>11</v>
      </c>
      <c r="X444" s="95">
        <f t="shared" si="267"/>
        <v>11</v>
      </c>
      <c r="Y444" s="95">
        <f t="shared" si="268"/>
        <v>1</v>
      </c>
      <c r="Z444" s="95">
        <f t="shared" si="269"/>
        <v>1</v>
      </c>
    </row>
    <row r="445" spans="1:26">
      <c r="A445" s="95">
        <v>12</v>
      </c>
      <c r="B445" s="95">
        <f>Singles!I124</f>
        <v>0</v>
      </c>
      <c r="C445" s="100" t="str">
        <f>IF(OR(LEFT(B445,LEN(B$13))=B$13,LEFT(B445,LEN(C$13))=C$13,LEN(B445)&lt;2),"","Wrong pick")</f>
        <v/>
      </c>
      <c r="G445" s="95" t="str">
        <f>IF(B445=0,"",IF(LEFT(B445,LEN(B$13))=B$13,B$13,C$13))</f>
        <v/>
      </c>
      <c r="H445" s="95" t="str">
        <f t="shared" si="259"/>
        <v>0-0</v>
      </c>
      <c r="J445" s="97">
        <f>Singles!H$14</f>
        <v>1</v>
      </c>
      <c r="K445" s="95" t="str">
        <f t="shared" si="260"/>
        <v>SR</v>
      </c>
      <c r="L445" s="95" t="str">
        <f t="shared" si="261"/>
        <v>0</v>
      </c>
      <c r="M445" s="95" t="str">
        <f t="shared" si="262"/>
        <v>0</v>
      </c>
      <c r="N445" s="95" t="str">
        <f t="shared" si="263"/>
        <v>0</v>
      </c>
      <c r="O445" s="95" t="str">
        <f t="shared" si="264"/>
        <v>0</v>
      </c>
      <c r="P445" s="95" t="str">
        <f t="shared" si="265"/>
        <v>0</v>
      </c>
      <c r="Q445" s="95">
        <f>IF(AND(G445=T$13,LEN(G445)&gt;1),1,0)</f>
        <v>0</v>
      </c>
      <c r="R445" s="97">
        <f>Singles!D$14</f>
        <v>12</v>
      </c>
      <c r="S445" s="95">
        <f>IF(AND(H445=H$13,LEN(H445)&gt;1,Q445=1),1,0)</f>
        <v>0</v>
      </c>
      <c r="T445" s="95" t="str">
        <f t="shared" si="266"/>
        <v>No</v>
      </c>
      <c r="U445" s="95" t="str">
        <f>IF(T445="Winner",IF(V445&gt;V427,B433,B415),"")</f>
        <v/>
      </c>
      <c r="V445" s="97">
        <f>VLOOKUP(12,X434:Y449,2,0)</f>
        <v>1</v>
      </c>
      <c r="W445" s="95">
        <v>12</v>
      </c>
      <c r="X445" s="95">
        <f t="shared" si="267"/>
        <v>12</v>
      </c>
      <c r="Y445" s="95">
        <f t="shared" si="268"/>
        <v>1</v>
      </c>
      <c r="Z445" s="95">
        <f t="shared" si="269"/>
        <v>1</v>
      </c>
    </row>
    <row r="446" spans="1:26">
      <c r="A446" s="95">
        <v>13</v>
      </c>
      <c r="B446" s="95">
        <f>Singles!I125</f>
        <v>0</v>
      </c>
      <c r="C446" s="100" t="str">
        <f>IF(OR(LEFT(B446,LEN(B$14))=B$14,LEFT(B446,LEN(C$14))=C$14,LEN(B446)&lt;2),"","Wrong pick")</f>
        <v/>
      </c>
      <c r="G446" s="95" t="str">
        <f>IF(B446=0,"",IF(LEFT(B446,LEN(B$14))=B$14,B$14,C$14))</f>
        <v/>
      </c>
      <c r="H446" s="95" t="str">
        <f t="shared" si="259"/>
        <v>0-0</v>
      </c>
      <c r="J446" s="97">
        <f>Singles!H$15</f>
        <v>1</v>
      </c>
      <c r="K446" s="95" t="str">
        <f t="shared" si="260"/>
        <v>SR</v>
      </c>
      <c r="L446" s="95" t="str">
        <f t="shared" si="261"/>
        <v>0</v>
      </c>
      <c r="M446" s="95" t="str">
        <f t="shared" si="262"/>
        <v>0</v>
      </c>
      <c r="N446" s="95" t="str">
        <f t="shared" si="263"/>
        <v>0</v>
      </c>
      <c r="O446" s="95" t="str">
        <f t="shared" si="264"/>
        <v>0</v>
      </c>
      <c r="P446" s="95" t="str">
        <f t="shared" si="265"/>
        <v>0</v>
      </c>
      <c r="Q446" s="95">
        <f>IF(AND(G446=T$14,LEN(G446)&gt;1),1,0)</f>
        <v>0</v>
      </c>
      <c r="R446" s="97">
        <f>Singles!D$15</f>
        <v>13</v>
      </c>
      <c r="S446" s="95">
        <f>IF(AND(H446=H$14,LEN(H446)&gt;1,Q446=1),1,0)</f>
        <v>0</v>
      </c>
      <c r="T446" s="95" t="str">
        <f t="shared" si="266"/>
        <v>No</v>
      </c>
      <c r="U446" s="95" t="str">
        <f>IF(T446="Winner",IF(V446&gt;V428,B433,B415),"")</f>
        <v/>
      </c>
      <c r="V446" s="97">
        <f>VLOOKUP(13,X434:Y449,2,0)</f>
        <v>1</v>
      </c>
      <c r="W446" s="95">
        <v>13</v>
      </c>
      <c r="X446" s="95">
        <f t="shared" si="267"/>
        <v>13</v>
      </c>
      <c r="Y446" s="95">
        <f t="shared" si="268"/>
        <v>1</v>
      </c>
      <c r="Z446" s="95">
        <f t="shared" si="269"/>
        <v>1</v>
      </c>
    </row>
    <row r="447" spans="1:26">
      <c r="A447" s="95">
        <v>14</v>
      </c>
      <c r="B447" s="95">
        <f>Singles!I126</f>
        <v>0</v>
      </c>
      <c r="C447" s="100" t="str">
        <f>IF(OR(LEFT(B447,LEN(B$15))=B$15,LEFT(B447,LEN(C$15))=C$15,LEN(B447)&lt;2),"","Wrong pick")</f>
        <v/>
      </c>
      <c r="G447" s="95" t="str">
        <f>IF(B447=0,"",IF(LEFT(B447,LEN(B$15))=B$15,B$15,C$15))</f>
        <v/>
      </c>
      <c r="H447" s="95" t="str">
        <f t="shared" si="259"/>
        <v>0-0</v>
      </c>
      <c r="J447" s="97">
        <f>Singles!H$16</f>
        <v>1</v>
      </c>
      <c r="K447" s="95" t="str">
        <f t="shared" si="260"/>
        <v>SR</v>
      </c>
      <c r="L447" s="95" t="str">
        <f t="shared" si="261"/>
        <v>0</v>
      </c>
      <c r="M447" s="95" t="str">
        <f t="shared" si="262"/>
        <v>0</v>
      </c>
      <c r="N447" s="95" t="str">
        <f t="shared" si="263"/>
        <v>0</v>
      </c>
      <c r="O447" s="95" t="str">
        <f t="shared" si="264"/>
        <v>0</v>
      </c>
      <c r="P447" s="95" t="str">
        <f t="shared" si="265"/>
        <v>0</v>
      </c>
      <c r="Q447" s="95">
        <f>IF(AND(G447=T$15,LEN(G447)&gt;1),1,0)</f>
        <v>0</v>
      </c>
      <c r="R447" s="97">
        <f>Singles!D$16</f>
        <v>14</v>
      </c>
      <c r="S447" s="95">
        <f>IF(AND(H447=H$15,LEN(H447)&gt;1,Q447=1),1,0)</f>
        <v>0</v>
      </c>
      <c r="T447" s="95" t="str">
        <f t="shared" si="266"/>
        <v>No</v>
      </c>
      <c r="U447" s="95" t="str">
        <f>IF(T447="Winner",IF(V447&gt;V429,B433,B415),"")</f>
        <v/>
      </c>
      <c r="V447" s="97">
        <f>VLOOKUP(14,X434:Y449,2,0)</f>
        <v>1</v>
      </c>
      <c r="W447" s="95">
        <v>14</v>
      </c>
      <c r="X447" s="95">
        <f t="shared" si="267"/>
        <v>14</v>
      </c>
      <c r="Y447" s="95">
        <f t="shared" si="268"/>
        <v>1</v>
      </c>
      <c r="Z447" s="95">
        <f t="shared" si="269"/>
        <v>1</v>
      </c>
    </row>
    <row r="448" spans="1:26">
      <c r="A448" s="95">
        <v>15</v>
      </c>
      <c r="B448" s="95">
        <f>Singles!I127</f>
        <v>0</v>
      </c>
      <c r="C448" s="100" t="str">
        <f>IF(OR(LEFT(B448,LEN(B$16))=B$16,LEFT(B448,LEN(C$16))=C$16,LEN(B448)&lt;2),"","Wrong pick")</f>
        <v/>
      </c>
      <c r="G448" s="95" t="str">
        <f>IF(B448=0,"",IF(LEFT(B448,LEN(B$16))=B$16,B$16,C$16))</f>
        <v/>
      </c>
      <c r="H448" s="95" t="str">
        <f t="shared" si="259"/>
        <v>0-0</v>
      </c>
      <c r="J448" s="97">
        <f>Singles!H$17</f>
        <v>1</v>
      </c>
      <c r="K448" s="95" t="str">
        <f t="shared" si="260"/>
        <v>SR</v>
      </c>
      <c r="L448" s="95" t="str">
        <f t="shared" si="261"/>
        <v>0</v>
      </c>
      <c r="M448" s="95" t="str">
        <f t="shared" si="262"/>
        <v>0</v>
      </c>
      <c r="N448" s="95" t="str">
        <f t="shared" si="263"/>
        <v>0</v>
      </c>
      <c r="O448" s="95" t="str">
        <f t="shared" si="264"/>
        <v>0</v>
      </c>
      <c r="P448" s="95" t="str">
        <f t="shared" si="265"/>
        <v>0</v>
      </c>
      <c r="Q448" s="95">
        <f>IF(AND(G448=T$16,LEN(G448)&gt;1),1,0)</f>
        <v>0</v>
      </c>
      <c r="R448" s="97">
        <f>Singles!D$17</f>
        <v>15</v>
      </c>
      <c r="S448" s="95">
        <f>IF(AND(H448=H$16,LEN(H448)&gt;1,Q448=1),1,0)</f>
        <v>0</v>
      </c>
      <c r="T448" s="95" t="str">
        <f t="shared" si="266"/>
        <v>No</v>
      </c>
      <c r="U448" s="95" t="str">
        <f>IF(T448="Winner",IF(V448&gt;V430,B433,B415),"")</f>
        <v/>
      </c>
      <c r="V448" s="97">
        <f>VLOOKUP(15,X434:Y449,2,0)</f>
        <v>1</v>
      </c>
      <c r="W448" s="95">
        <v>15</v>
      </c>
      <c r="X448" s="95">
        <f t="shared" si="267"/>
        <v>15</v>
      </c>
      <c r="Y448" s="95">
        <f t="shared" si="268"/>
        <v>1</v>
      </c>
      <c r="Z448" s="95">
        <f t="shared" si="269"/>
        <v>1</v>
      </c>
    </row>
    <row r="449" spans="1:26">
      <c r="A449" s="95">
        <v>16</v>
      </c>
      <c r="B449" s="95">
        <f>Singles!I128</f>
        <v>0</v>
      </c>
      <c r="C449" s="100" t="str">
        <f>IF(OR(LEFT(B449,LEN(B$17))=B$17,LEFT(B449,LEN(C$17))=C$17,LEN(B449)&lt;2),"","Wrong pick")</f>
        <v/>
      </c>
      <c r="G449" s="95" t="str">
        <f>IF(B449=0,"",IF(LEFT(B449,LEN(B$17))=B$17,B$17,C$17))</f>
        <v/>
      </c>
      <c r="H449" s="95" t="str">
        <f t="shared" si="259"/>
        <v>0-0</v>
      </c>
      <c r="J449" s="97">
        <f>Singles!H$18</f>
        <v>1</v>
      </c>
      <c r="K449" s="95" t="str">
        <f t="shared" si="260"/>
        <v>SR</v>
      </c>
      <c r="L449" s="95" t="str">
        <f t="shared" si="261"/>
        <v>0</v>
      </c>
      <c r="M449" s="95" t="str">
        <f t="shared" si="262"/>
        <v>0</v>
      </c>
      <c r="N449" s="95" t="str">
        <f t="shared" si="263"/>
        <v>0</v>
      </c>
      <c r="O449" s="95" t="str">
        <f t="shared" si="264"/>
        <v>0</v>
      </c>
      <c r="P449" s="95" t="str">
        <f t="shared" si="265"/>
        <v>0</v>
      </c>
      <c r="Q449" s="95">
        <f>IF(AND(G449=T$17,LEN(G449)&gt;1),1,0)</f>
        <v>0</v>
      </c>
      <c r="R449" s="97">
        <f>Singles!D$18</f>
        <v>16</v>
      </c>
      <c r="S449" s="95">
        <f>IF(AND(H449=H$17,LEN(H449)&gt;1,Q449=1),1,0)</f>
        <v>0</v>
      </c>
      <c r="T449" s="95" t="str">
        <f t="shared" si="266"/>
        <v>No</v>
      </c>
      <c r="U449" s="95" t="str">
        <f>IF(T449="Winner",IF(V449&gt;V431,B433,B415),"")</f>
        <v/>
      </c>
      <c r="V449" s="97">
        <f>VLOOKUP(16,X434:Y449,2,0)</f>
        <v>1</v>
      </c>
      <c r="W449" s="95">
        <v>16</v>
      </c>
      <c r="X449" s="95">
        <f t="shared" si="267"/>
        <v>16</v>
      </c>
      <c r="Y449" s="95">
        <f t="shared" si="268"/>
        <v>1</v>
      </c>
      <c r="Z449" s="95">
        <f t="shared" si="269"/>
        <v>1</v>
      </c>
    </row>
    <row r="450" spans="1:26">
      <c r="T450" s="95" t="s">
        <v>89</v>
      </c>
      <c r="U450" s="95" t="s">
        <v>125</v>
      </c>
      <c r="W450" s="95">
        <v>17</v>
      </c>
    </row>
    <row r="451" spans="1:26">
      <c r="A451" s="95" t="e">
        <f>IF(LEN(VLOOKUP(B451,Singles!$A$2:$B$33,2,0))&gt;0,VLOOKUP(B451,Singles!$A$2:$B$33,2,0),"")</f>
        <v>#N/A</v>
      </c>
      <c r="B451" s="96">
        <f>Singles!J112</f>
        <v>0</v>
      </c>
      <c r="C451" s="96">
        <v>25</v>
      </c>
      <c r="D451" s="95" t="e">
        <f>VLOOKUP(B451,Singles!$A$2:$C$33,3,0)</f>
        <v>#N/A</v>
      </c>
      <c r="J451" s="95" t="s">
        <v>88</v>
      </c>
      <c r="Q451" s="95" t="s">
        <v>121</v>
      </c>
      <c r="S451" s="95" t="s">
        <v>122</v>
      </c>
      <c r="T451" s="95" t="e">
        <f>IF(LEN(A451)&gt;0,"("&amp;A451&amp;") "&amp;B451,B451)&amp;IF(LEN(D451)&gt;1," ("&amp;D451&amp;")","")</f>
        <v>#N/A</v>
      </c>
      <c r="V451" s="95" t="s">
        <v>123</v>
      </c>
      <c r="Y451" s="95" t="s">
        <v>123</v>
      </c>
      <c r="Z451" s="95" t="s">
        <v>124</v>
      </c>
    </row>
    <row r="452" spans="1:26">
      <c r="A452" s="95">
        <v>1</v>
      </c>
      <c r="B452" s="95">
        <f>Singles!J113</f>
        <v>0</v>
      </c>
      <c r="C452" s="99" t="str">
        <f>IF(OR(LEFT(B452,LEN(B$2))=B$2,LEFT(B452,LEN(C$2))=C$2,LEN(B452)&lt;2),"","Wrong pick")</f>
        <v/>
      </c>
      <c r="D452" s="95">
        <f t="shared" ref="D452:D467" ca="1" si="270">IF(OR(G452=G470,INDIRECT(ADDRESS(A452+1,6,1))&gt;0),0,1)</f>
        <v>0</v>
      </c>
      <c r="E452" s="95" t="str">
        <f ca="1">IF(AND(D452=1,J452=$I$2),G452&amp;", ","")&amp;IF(AND(D453=1,J453=$I$2),G453&amp;", ","")&amp;IF(AND(D454=1,J454=$I$2),G454&amp;", ","")&amp;IF(AND(D455=1,J455=$I$2),G455&amp;", ","")&amp;IF(AND(D456=1,J456=$I$2),G456&amp;", ","")&amp;IF(AND(D457=1,J457=$I$2),G457&amp;", ","")&amp;IF(AND(D458=1,J458=$I$2),G458&amp;", ","")&amp;IF(AND(D459=1,J459=$I$2),G459&amp;", ","")&amp;IF(AND(D460=1,J460=$I$2),G460&amp;", ","")&amp;IF(AND(D461=1,J461=$I$2),G461&amp;", ","")&amp;IF(AND(D462=1,J462=$I$2),G462&amp;", ","")&amp;IF(AND(D463=1,J463=$I$2),G463&amp;", ","")&amp;IF(AND(D464=1,J464=$I$2),G464&amp;", ","")&amp;IF(AND(D465=1,J465=$I$2),G465&amp;", ","")&amp;IF(AND(D466=1,J466=$I$2),G466&amp;", ","")&amp;IF(AND(D467=1,J467=$I$2),G467&amp;", ","")</f>
        <v/>
      </c>
      <c r="F452" s="95" t="str">
        <f>IF(AND(SUM(Z452:Z467)=$I$4,NOT(B451="Bye")),"Missing picks from "&amp;B451&amp;" ","")</f>
        <v xml:space="preserve">Missing picks from 0 </v>
      </c>
      <c r="G452" s="95" t="str">
        <f>IF(B452=0,"",IF(LEFT(B452,LEN(B$2))=B$2,B$2,C$2))</f>
        <v/>
      </c>
      <c r="H452" s="95" t="str">
        <f t="shared" ref="H452:H467" si="271">IF(L452="","",IF(K452="PTS",IF(LEN(O452)&lt;8,"2-0","2-1"),LEFT(O452,1)&amp;"-"&amp;RIGHT(O452,1)))</f>
        <v>0-0</v>
      </c>
      <c r="I452" s="95" t="str">
        <f ca="1">IF(AND(J452=Singles!$H$21,INDIRECT(ADDRESS(A452+1,6,1))=0,NOT(INDIRECT(ADDRESS(A452+1,5,1))="")),IF(D452=0,IF(H452=H470,"",G452&amp;" "&amp;H452&amp;" v "&amp;H470&amp;", "),G452&amp;" "&amp;H452&amp;" vs. "&amp;G470&amp;" "&amp;H470&amp;", "),"")</f>
        <v/>
      </c>
      <c r="J452" s="97">
        <f>Singles!H$3</f>
        <v>1</v>
      </c>
      <c r="K452" s="95" t="str">
        <f t="shared" ref="K452:K467" si="272">IF(LEN(L452)&gt;0,IF(LEN(O452)&lt;4,"SR","PTS"),"")</f>
        <v>SR</v>
      </c>
      <c r="L452" s="95" t="str">
        <f t="shared" ref="L452:L467" si="273">TRIM(RIGHT(B452,LEN(B452)-LEN(G452)))</f>
        <v>0</v>
      </c>
      <c r="M452" s="95" t="str">
        <f t="shared" ref="M452:M467" si="274">SUBSTITUTE(L452,"-","")</f>
        <v>0</v>
      </c>
      <c r="N452" s="95" t="str">
        <f t="shared" ref="N452:N467" si="275">SUBSTITUTE(M452,","," ")</f>
        <v>0</v>
      </c>
      <c r="O452" s="95" t="str">
        <f t="shared" ref="O452:O467" si="276">IF(AND(LEN(TRIM(SUBSTITUTE(P452,"/","")))&gt;6,OR(LEFT(TRIM(SUBSTITUTE(P452,"/","")),2)="20",LEFT(TRIM(SUBSTITUTE(P452,"/","")),2)="21")),RIGHT(TRIM(SUBSTITUTE(P452,"/","")),LEN(TRIM(SUBSTITUTE(P452,"/","")))-3),TRIM(SUBSTITUTE(P452,"/","")))</f>
        <v>0</v>
      </c>
      <c r="P452" s="95" t="str">
        <f t="shared" ref="P452:P467" si="277">SUBSTITUTE(N452,":","")</f>
        <v>0</v>
      </c>
      <c r="Q452" s="95">
        <f>IF(AND(G452=T$2,LEN(G452)&gt;1),1,0)</f>
        <v>0</v>
      </c>
      <c r="R452" s="97">
        <f>Singles!D$3</f>
        <v>1</v>
      </c>
      <c r="S452" s="95">
        <f>IF(AND(H452=H$2,LEN(H452)&gt;1,Q452=1),1,0)</f>
        <v>0</v>
      </c>
      <c r="T452" s="95" t="str">
        <f ca="1">" SR Differences: "&amp;IF(LEN(I452&amp;I453&amp;I454&amp;I455&amp;I456&amp;I457&amp;I458&amp;I459&amp;I460&amp;I461&amp;I462&amp;I463&amp;I464&amp;I465&amp;I466&amp;I467)&lt;3,"None..",I452&amp;I453&amp;I454&amp;I455&amp;I456&amp;I457&amp;I458&amp;I459&amp;I460&amp;I461&amp;I462&amp;I463&amp;I464&amp;I465&amp;I466&amp;I467)</f>
        <v xml:space="preserve"> SR Differences: None..</v>
      </c>
      <c r="V452" s="97">
        <f>VLOOKUP(1,X452:Y467,2,0)</f>
        <v>1</v>
      </c>
      <c r="X452" s="95">
        <f t="shared" ref="X452:X467" si="278">R452</f>
        <v>1</v>
      </c>
      <c r="Y452" s="95">
        <f t="shared" ref="Y452:Y467" si="279">IF(Q452=1,IF(S452=1,4,3),IF(H452="2-1",2,1))</f>
        <v>1</v>
      </c>
      <c r="Z452" s="95">
        <f t="shared" ref="Z452:Z467" si="280">IF(AND($I$2=J452,B452=0),1,0)</f>
        <v>1</v>
      </c>
    </row>
    <row r="453" spans="1:26">
      <c r="A453" s="95">
        <v>2</v>
      </c>
      <c r="B453" s="95">
        <f>Singles!J114</f>
        <v>0</v>
      </c>
      <c r="C453" s="100" t="str">
        <f>IF(OR(LEFT(B453,LEN(B$3))=B$3,LEFT(B453,LEN(C$3))=C$3,LEN(B453)&lt;2),"","Wrong pick")</f>
        <v/>
      </c>
      <c r="D453" s="95">
        <f t="shared" ca="1" si="270"/>
        <v>0</v>
      </c>
      <c r="G453" s="95" t="str">
        <f>IF(B453=0,"",IF(LEFT(B453,LEN(B$3))=B$3,B$3,C$3))</f>
        <v/>
      </c>
      <c r="H453" s="95" t="str">
        <f t="shared" si="271"/>
        <v>0-0</v>
      </c>
      <c r="I453" s="95" t="str">
        <f ca="1">IF(AND(J453=Singles!$H$21,INDIRECT(ADDRESS(A453+1,6,1))=0,NOT(INDIRECT(ADDRESS(A453+1,5,1))="")),IF(D453=0,IF(H453=H471,"",G453&amp;" "&amp;H453&amp;" v "&amp;H471&amp;", "),G453&amp;" "&amp;H453&amp;" vs. "&amp;G471&amp;" "&amp;H471&amp;", "),"")</f>
        <v/>
      </c>
      <c r="J453" s="97">
        <f>Singles!H$4</f>
        <v>1</v>
      </c>
      <c r="K453" s="95" t="str">
        <f t="shared" si="272"/>
        <v>SR</v>
      </c>
      <c r="L453" s="95" t="str">
        <f t="shared" si="273"/>
        <v>0</v>
      </c>
      <c r="M453" s="95" t="str">
        <f t="shared" si="274"/>
        <v>0</v>
      </c>
      <c r="N453" s="95" t="str">
        <f t="shared" si="275"/>
        <v>0</v>
      </c>
      <c r="O453" s="95" t="str">
        <f t="shared" si="276"/>
        <v>0</v>
      </c>
      <c r="P453" s="95" t="str">
        <f t="shared" si="277"/>
        <v>0</v>
      </c>
      <c r="Q453" s="95">
        <f>IF(AND(G453=T$3,LEN(G453)&gt;1),1,0)</f>
        <v>0</v>
      </c>
      <c r="R453" s="97">
        <f>Singles!D$4</f>
        <v>2</v>
      </c>
      <c r="S453" s="95">
        <f>IF(AND(H453=H$3,LEN(H453)&gt;1,Q453=1),1,0)</f>
        <v>0</v>
      </c>
      <c r="T453" s="95" t="str">
        <f ca="1">IF(T454&gt;0,LEFT(E452,LEN(E452)-2)&amp;" vs. "&amp;LEFT(E470,LEN(E470)-2),IF(SUMIF(Singles!$H$3:$H$18,"="&amp;Singles!$H$21,Singles!$I$3:$I$18)=0,"Same winners;",""))</f>
        <v>Same winners;</v>
      </c>
      <c r="V453" s="97">
        <f>VLOOKUP(2,X452:Y467,2,0)</f>
        <v>1</v>
      </c>
      <c r="X453" s="95">
        <f t="shared" si="278"/>
        <v>2</v>
      </c>
      <c r="Y453" s="95">
        <f t="shared" si="279"/>
        <v>1</v>
      </c>
      <c r="Z453" s="95">
        <f t="shared" si="280"/>
        <v>1</v>
      </c>
    </row>
    <row r="454" spans="1:26">
      <c r="A454" s="95">
        <v>3</v>
      </c>
      <c r="B454" s="95">
        <f>Singles!J115</f>
        <v>0</v>
      </c>
      <c r="C454" s="100" t="str">
        <f>IF(OR(LEFT(B454,LEN(B$4))=B$4,LEFT(B454,LEN(C$4))=C$4,LEN(B454)&lt;2),"","Wrong pick")</f>
        <v/>
      </c>
      <c r="D454" s="95">
        <f t="shared" ca="1" si="270"/>
        <v>0</v>
      </c>
      <c r="G454" s="95" t="str">
        <f>IF(B454=0,"",IF(LEFT(B454,LEN(B$4))=B$4,B$4,C$4))</f>
        <v/>
      </c>
      <c r="H454" s="95" t="str">
        <f t="shared" si="271"/>
        <v>0-0</v>
      </c>
      <c r="I454" s="95" t="str">
        <f ca="1">IF(AND(J454=Singles!$H$21,INDIRECT(ADDRESS(A454+1,6,1))=0,NOT(INDIRECT(ADDRESS(A454+1,5,1))="")),IF(D454=0,IF(H454=H472,"",G454&amp;" "&amp;H454&amp;" v "&amp;H472&amp;", "),G454&amp;" "&amp;H454&amp;" vs. "&amp;G472&amp;" "&amp;H472&amp;", "),"")</f>
        <v/>
      </c>
      <c r="J454" s="97">
        <f>Singles!H$5</f>
        <v>1</v>
      </c>
      <c r="K454" s="95" t="str">
        <f t="shared" si="272"/>
        <v>SR</v>
      </c>
      <c r="L454" s="95" t="str">
        <f t="shared" si="273"/>
        <v>0</v>
      </c>
      <c r="M454" s="95" t="str">
        <f t="shared" si="274"/>
        <v>0</v>
      </c>
      <c r="N454" s="95" t="str">
        <f t="shared" si="275"/>
        <v>0</v>
      </c>
      <c r="O454" s="95" t="str">
        <f t="shared" si="276"/>
        <v>0</v>
      </c>
      <c r="P454" s="95" t="str">
        <f t="shared" si="277"/>
        <v>0</v>
      </c>
      <c r="Q454" s="95">
        <f>IF(AND(G454=T$4,LEN(G454)&gt;1),1,0)</f>
        <v>0</v>
      </c>
      <c r="R454" s="97">
        <f>Singles!D$5</f>
        <v>3</v>
      </c>
      <c r="S454" s="95">
        <f>IF(AND(H454=H$4,LEN(H454)&gt;1,Q454=1),1,0)</f>
        <v>0</v>
      </c>
      <c r="T454" s="101">
        <f ca="1">SUMIF(J452:J467,$I$2,D452:D467)</f>
        <v>0</v>
      </c>
      <c r="V454" s="97">
        <f>VLOOKUP(3,X452:Y467,2,0)</f>
        <v>1</v>
      </c>
      <c r="X454" s="95">
        <f t="shared" si="278"/>
        <v>3</v>
      </c>
      <c r="Y454" s="95">
        <f t="shared" si="279"/>
        <v>1</v>
      </c>
      <c r="Z454" s="95">
        <f t="shared" si="280"/>
        <v>1</v>
      </c>
    </row>
    <row r="455" spans="1:26">
      <c r="A455" s="95">
        <v>4</v>
      </c>
      <c r="B455" s="95">
        <f>Singles!J116</f>
        <v>0</v>
      </c>
      <c r="C455" s="100" t="str">
        <f>IF(OR(LEFT(B455,LEN(B$5))=B$5,LEFT(B455,LEN(C$5))=C$5,LEN(B455)&lt;2),"","Wrong pick")</f>
        <v/>
      </c>
      <c r="D455" s="95">
        <f t="shared" ca="1" si="270"/>
        <v>0</v>
      </c>
      <c r="G455" s="95" t="str">
        <f>IF(B455=0,"",IF(LEFT(B455,LEN(B$5))=B$5,B$5,C$5))</f>
        <v/>
      </c>
      <c r="H455" s="95" t="str">
        <f t="shared" si="271"/>
        <v>0-0</v>
      </c>
      <c r="I455" s="95" t="str">
        <f ca="1">IF(AND(J455=Singles!$H$21,INDIRECT(ADDRESS(A455+1,6,1))=0,NOT(INDIRECT(ADDRESS(A455+1,5,1))="")),IF(D455=0,IF(H455=H473,"",G455&amp;" "&amp;H455&amp;" v "&amp;H473&amp;", "),G455&amp;" "&amp;H455&amp;" vs. "&amp;G473&amp;" "&amp;H473&amp;", "),"")</f>
        <v/>
      </c>
      <c r="J455" s="97">
        <f>Singles!H$6</f>
        <v>1</v>
      </c>
      <c r="K455" s="95" t="str">
        <f t="shared" si="272"/>
        <v>SR</v>
      </c>
      <c r="L455" s="95" t="str">
        <f t="shared" si="273"/>
        <v>0</v>
      </c>
      <c r="M455" s="95" t="str">
        <f t="shared" si="274"/>
        <v>0</v>
      </c>
      <c r="N455" s="95" t="str">
        <f t="shared" si="275"/>
        <v>0</v>
      </c>
      <c r="O455" s="95" t="str">
        <f t="shared" si="276"/>
        <v>0</v>
      </c>
      <c r="P455" s="95" t="str">
        <f t="shared" si="277"/>
        <v>0</v>
      </c>
      <c r="Q455" s="95">
        <f>IF(AND(G455=T$5,LEN(G455)&gt;1),1,0)</f>
        <v>0</v>
      </c>
      <c r="R455" s="97">
        <f>Singles!D$6</f>
        <v>4</v>
      </c>
      <c r="S455" s="95">
        <f>IF(AND(H455=H$5,LEN(H455)&gt;1,Q455=1),1,0)</f>
        <v>0</v>
      </c>
      <c r="T455" s="102" t="e">
        <f>IF(T457&lt;10,"0","")&amp;T457&amp;":"&amp;IF(T458&lt;10,"0","")&amp;T458&amp;" | [b]"&amp;IF(LEN(U455)&gt;0,U455,T451&amp;"[/b] vs. [b]"&amp;T469&amp;"[/b]"&amp;IF(Singles!$H$21&gt;1," (SR "&amp;U457&amp;":"&amp;U458&amp;")","")&amp;" - "&amp;IF(COUNTIF(C452:C485,"=Wrong Pick")&gt;0,"Incorrect pick, probably a spelling mistake",IF(AND(F452="",F470=""),T453&amp;IF(AND(OR(AND(Singles!$H$20&gt;1,Singles!$H$21&lt;Singles!$H$20),MOD(T454+T457+T458,2)=0),NOT(Singles!$H$23="No")),LEFT(T452,LEN(T452)-2),""),F452&amp;F470)))</f>
        <v>#N/A</v>
      </c>
      <c r="U455" s="95" t="str">
        <f>IF(B451="Bye","Bye[/b] vs. [b][color=blue]"&amp;T469&amp;"[/color][/b]",IF(B469="Bye","[color=blue]"&amp;T451&amp;"[/color][/b] vs. [b]Bye[/b]",""))</f>
        <v/>
      </c>
      <c r="V455" s="97">
        <f>VLOOKUP(4,X452:Y467,2,0)</f>
        <v>1</v>
      </c>
      <c r="X455" s="95">
        <f t="shared" si="278"/>
        <v>4</v>
      </c>
      <c r="Y455" s="95">
        <f t="shared" si="279"/>
        <v>1</v>
      </c>
      <c r="Z455" s="95">
        <f t="shared" si="280"/>
        <v>1</v>
      </c>
    </row>
    <row r="456" spans="1:26">
      <c r="A456" s="95">
        <v>5</v>
      </c>
      <c r="B456" s="95">
        <f>Singles!J117</f>
        <v>0</v>
      </c>
      <c r="C456" s="100" t="str">
        <f>IF(OR(LEFT(B456,LEN(B$6))=B$6,LEFT(B456,LEN(C$6))=C$6,LEN(B456)&lt;2),"","Wrong pick")</f>
        <v/>
      </c>
      <c r="D456" s="95">
        <f t="shared" ca="1" si="270"/>
        <v>0</v>
      </c>
      <c r="G456" s="95" t="str">
        <f>IF(B456=0,"",IF(LEFT(B456,LEN(B$6))=B$6,B$6,C$6))</f>
        <v/>
      </c>
      <c r="H456" s="95" t="str">
        <f t="shared" si="271"/>
        <v>0-0</v>
      </c>
      <c r="I456" s="95" t="str">
        <f ca="1">IF(AND(J456=Singles!$H$21,INDIRECT(ADDRESS(A456+1,6,1))=0,NOT(INDIRECT(ADDRESS(A456+1,5,1))="")),IF(D456=0,IF(H456=H474,"",G456&amp;" "&amp;H456&amp;" v "&amp;H474&amp;", "),G456&amp;" "&amp;H456&amp;" vs. "&amp;G474&amp;" "&amp;H474&amp;", "),"")</f>
        <v/>
      </c>
      <c r="J456" s="97">
        <f>Singles!H$7</f>
        <v>1</v>
      </c>
      <c r="K456" s="95" t="str">
        <f t="shared" si="272"/>
        <v>SR</v>
      </c>
      <c r="L456" s="95" t="str">
        <f t="shared" si="273"/>
        <v>0</v>
      </c>
      <c r="M456" s="95" t="str">
        <f t="shared" si="274"/>
        <v>0</v>
      </c>
      <c r="N456" s="95" t="str">
        <f t="shared" si="275"/>
        <v>0</v>
      </c>
      <c r="O456" s="95" t="str">
        <f t="shared" si="276"/>
        <v>0</v>
      </c>
      <c r="P456" s="95" t="str">
        <f t="shared" si="277"/>
        <v>0</v>
      </c>
      <c r="Q456" s="95">
        <f>IF(AND(G456=T$6,LEN(G456)&gt;1),1,0)</f>
        <v>0</v>
      </c>
      <c r="R456" s="97">
        <f>Singles!D$7</f>
        <v>5</v>
      </c>
      <c r="S456" s="95">
        <f>IF(AND(H456=H$6,LEN(H456)&gt;1,Q456=1),1,0)</f>
        <v>0</v>
      </c>
      <c r="T456" s="103" t="str">
        <f>IF(Singles!$H$22=$F$18,IF(T457&gt;T458,B451,IF(T457&lt;T458,B469,IF(U457&gt;U458,B451,IF(U457&lt;U458,B469,T460)))),"No decision yet")</f>
        <v>No decision yet</v>
      </c>
      <c r="U456" s="104" t="e">
        <f>IF(T457&lt;10,"0","")&amp;T457&amp;":"&amp;IF(T458&lt;10,"0","")&amp;T458&amp;" | "&amp;IF(AND(A451&gt;0,A451&lt;33,B451=T456),"[b][color=Blue]"&amp;T451&amp;"[/color][/b]",IF(B451=T456,"[color=Blue]"&amp;T451&amp;"[/color]",IF(AND(A451&gt;0,A451&lt;33),"[b]"&amp;T451&amp;"[/b]",T451)))&amp;" vs. "&amp;IF(AND(A469&gt;0,A469&lt;33,B469=T456),"[b][color=Blue]"&amp;T469&amp;"[/color][/b]",IF(B469=T456,"[color=Blue]"&amp;T469&amp;"[/color]",IF(AND(A469&gt;0,A469&lt;33),"[b]"&amp;T469&amp;"[/b]",T469)))&amp;IF(OR(Singles!$B$40="yes",T457=T458)," #SRs: "&amp;U457&amp;"-"&amp;U458,"")&amp;IF(AND(T457=T458,U457=U458,U460&lt;17,Singles!$H$22=$F$18),", Shootout: SR"&amp;U460,"")</f>
        <v>#N/A</v>
      </c>
      <c r="V456" s="97">
        <f>VLOOKUP(5,X452:Y467,2,0)</f>
        <v>1</v>
      </c>
      <c r="X456" s="95">
        <f t="shared" si="278"/>
        <v>5</v>
      </c>
      <c r="Y456" s="95">
        <f t="shared" si="279"/>
        <v>1</v>
      </c>
      <c r="Z456" s="95">
        <f t="shared" si="280"/>
        <v>1</v>
      </c>
    </row>
    <row r="457" spans="1:26">
      <c r="A457" s="95">
        <v>6</v>
      </c>
      <c r="B457" s="95">
        <f>Singles!J118</f>
        <v>0</v>
      </c>
      <c r="C457" s="100" t="str">
        <f>IF(OR(LEFT(B457,LEN(B$7))=B$7,LEFT(B457,LEN(C$7))=C$7,LEN(B457)&lt;2),"","Wrong pick")</f>
        <v/>
      </c>
      <c r="D457" s="95">
        <f t="shared" ca="1" si="270"/>
        <v>0</v>
      </c>
      <c r="G457" s="95" t="str">
        <f>IF(B457=0,"",IF(LEFT(B457,LEN(B$7))=B$7,B$7,C$7))</f>
        <v/>
      </c>
      <c r="H457" s="95" t="str">
        <f t="shared" si="271"/>
        <v>0-0</v>
      </c>
      <c r="I457" s="95" t="str">
        <f ca="1">IF(AND(J457=Singles!$H$21,INDIRECT(ADDRESS(A457+1,6,1))=0,NOT(INDIRECT(ADDRESS(A457+1,5,1))="")),IF(D457=0,IF(H457=H475,"",G457&amp;" "&amp;H457&amp;" v "&amp;H475&amp;", "),G457&amp;" "&amp;H457&amp;" vs. "&amp;G475&amp;" "&amp;H475&amp;", "),"")</f>
        <v/>
      </c>
      <c r="J457" s="97">
        <f>Singles!H$8</f>
        <v>1</v>
      </c>
      <c r="K457" s="95" t="str">
        <f t="shared" si="272"/>
        <v>SR</v>
      </c>
      <c r="L457" s="95" t="str">
        <f t="shared" si="273"/>
        <v>0</v>
      </c>
      <c r="M457" s="95" t="str">
        <f t="shared" si="274"/>
        <v>0</v>
      </c>
      <c r="N457" s="95" t="str">
        <f t="shared" si="275"/>
        <v>0</v>
      </c>
      <c r="O457" s="95" t="str">
        <f t="shared" si="276"/>
        <v>0</v>
      </c>
      <c r="P457" s="95" t="str">
        <f t="shared" si="277"/>
        <v>0</v>
      </c>
      <c r="Q457" s="95">
        <f>IF(AND(G457=T$7,LEN(G457)&gt;1),1,0)</f>
        <v>0</v>
      </c>
      <c r="R457" s="97">
        <f>Singles!D$8</f>
        <v>6</v>
      </c>
      <c r="S457" s="95">
        <f>IF(AND(H457=H$7,LEN(H457)&gt;1,Q457=1),1,0)</f>
        <v>0</v>
      </c>
      <c r="T457" s="105">
        <f>SUM(Q452:Q467)</f>
        <v>0</v>
      </c>
      <c r="U457" s="97">
        <f>SUM(S452:S467)</f>
        <v>0</v>
      </c>
      <c r="V457" s="97">
        <f>VLOOKUP(6,X452:Y467,2,0)</f>
        <v>1</v>
      </c>
      <c r="X457" s="95">
        <f t="shared" si="278"/>
        <v>6</v>
      </c>
      <c r="Y457" s="95">
        <f t="shared" si="279"/>
        <v>1</v>
      </c>
      <c r="Z457" s="95">
        <f t="shared" si="280"/>
        <v>1</v>
      </c>
    </row>
    <row r="458" spans="1:26">
      <c r="A458" s="95">
        <v>7</v>
      </c>
      <c r="B458" s="95">
        <f>Singles!J119</f>
        <v>0</v>
      </c>
      <c r="C458" s="100" t="str">
        <f>IF(OR(LEFT(B458,LEN(B$8))=B$8,LEFT(B458,LEN(C$8))=C$8,LEN(B458)&lt;2),"","Wrong pick")</f>
        <v/>
      </c>
      <c r="D458" s="95">
        <f t="shared" ca="1" si="270"/>
        <v>0</v>
      </c>
      <c r="G458" s="95" t="str">
        <f>IF(B458=0,"",IF(LEFT(B458,LEN(B$8))=B$8,B$8,C$8))</f>
        <v/>
      </c>
      <c r="H458" s="95" t="str">
        <f t="shared" si="271"/>
        <v>0-0</v>
      </c>
      <c r="I458" s="95" t="str">
        <f ca="1">IF(AND(J458=Singles!$H$21,INDIRECT(ADDRESS(A458+1,6,1))=0,NOT(INDIRECT(ADDRESS(A458+1,5,1))="")),IF(D458=0,IF(H458=H476,"",G458&amp;" "&amp;H458&amp;" v "&amp;H476&amp;", "),G458&amp;" "&amp;H458&amp;" vs. "&amp;G476&amp;" "&amp;H476&amp;", "),"")</f>
        <v/>
      </c>
      <c r="J458" s="97">
        <f>Singles!H$9</f>
        <v>1</v>
      </c>
      <c r="K458" s="95" t="str">
        <f t="shared" si="272"/>
        <v>SR</v>
      </c>
      <c r="L458" s="95" t="str">
        <f t="shared" si="273"/>
        <v>0</v>
      </c>
      <c r="M458" s="95" t="str">
        <f t="shared" si="274"/>
        <v>0</v>
      </c>
      <c r="N458" s="95" t="str">
        <f t="shared" si="275"/>
        <v>0</v>
      </c>
      <c r="O458" s="95" t="str">
        <f t="shared" si="276"/>
        <v>0</v>
      </c>
      <c r="P458" s="95" t="str">
        <f t="shared" si="277"/>
        <v>0</v>
      </c>
      <c r="Q458" s="95">
        <f>IF(AND(G458=T$8,LEN(G458)&gt;1),1,0)</f>
        <v>0</v>
      </c>
      <c r="R458" s="97">
        <f>Singles!D$9</f>
        <v>7</v>
      </c>
      <c r="S458" s="95">
        <f>IF(AND(H458=H$8,LEN(H458)&gt;1,Q458=1),1,0)</f>
        <v>0</v>
      </c>
      <c r="T458" s="105">
        <f>SUM(Q470:Q485)</f>
        <v>0</v>
      </c>
      <c r="U458" s="97">
        <f>SUM(S470:S485)</f>
        <v>0</v>
      </c>
      <c r="V458" s="97">
        <f>VLOOKUP(7,X452:Y467,2,0)</f>
        <v>1</v>
      </c>
      <c r="X458" s="95">
        <f t="shared" si="278"/>
        <v>7</v>
      </c>
      <c r="Y458" s="95">
        <f t="shared" si="279"/>
        <v>1</v>
      </c>
      <c r="Z458" s="95">
        <f t="shared" si="280"/>
        <v>1</v>
      </c>
    </row>
    <row r="459" spans="1:26">
      <c r="A459" s="95">
        <v>8</v>
      </c>
      <c r="B459" s="95">
        <f>Singles!J120</f>
        <v>0</v>
      </c>
      <c r="C459" s="100" t="str">
        <f>IF(OR(LEFT(B459,LEN(B$9))=B$9,LEFT(B459,LEN(C$9))=C$9,LEN(B459)&lt;2),"","Wrong pick")</f>
        <v/>
      </c>
      <c r="D459" s="95">
        <f t="shared" ca="1" si="270"/>
        <v>0</v>
      </c>
      <c r="G459" s="95" t="str">
        <f>IF(B459=0,"",IF(LEFT(B459,LEN(B$9))=B$9,B$9,C$9))</f>
        <v/>
      </c>
      <c r="H459" s="95" t="str">
        <f t="shared" si="271"/>
        <v>0-0</v>
      </c>
      <c r="I459" s="95" t="str">
        <f ca="1">IF(AND(J459=Singles!$H$21,INDIRECT(ADDRESS(A459+1,6,1))=0,NOT(INDIRECT(ADDRESS(A459+1,5,1))="")),IF(D459=0,IF(H459=H477,"",G459&amp;" "&amp;H459&amp;" v "&amp;H477&amp;", "),G459&amp;" "&amp;H459&amp;" vs. "&amp;G477&amp;" "&amp;H477&amp;", "),"")</f>
        <v/>
      </c>
      <c r="J459" s="97">
        <f>Singles!H$10</f>
        <v>1</v>
      </c>
      <c r="K459" s="95" t="str">
        <f t="shared" si="272"/>
        <v>SR</v>
      </c>
      <c r="L459" s="95" t="str">
        <f t="shared" si="273"/>
        <v>0</v>
      </c>
      <c r="M459" s="95" t="str">
        <f t="shared" si="274"/>
        <v>0</v>
      </c>
      <c r="N459" s="95" t="str">
        <f t="shared" si="275"/>
        <v>0</v>
      </c>
      <c r="O459" s="95" t="str">
        <f t="shared" si="276"/>
        <v>0</v>
      </c>
      <c r="P459" s="95" t="str">
        <f t="shared" si="277"/>
        <v>0</v>
      </c>
      <c r="Q459" s="95">
        <f>IF(AND(G459=T$9,LEN(G459)&gt;1),1,0)</f>
        <v>0</v>
      </c>
      <c r="R459" s="97">
        <f>Singles!D$10</f>
        <v>8</v>
      </c>
      <c r="S459" s="95">
        <f>IF(AND(H459=H$9,LEN(H459)&gt;1,Q459=1),1,0)</f>
        <v>0</v>
      </c>
      <c r="V459" s="97">
        <f>VLOOKUP(8,X452:Y467,2,0)</f>
        <v>1</v>
      </c>
      <c r="X459" s="95">
        <f t="shared" si="278"/>
        <v>8</v>
      </c>
      <c r="Y459" s="95">
        <f t="shared" si="279"/>
        <v>1</v>
      </c>
      <c r="Z459" s="95">
        <f t="shared" si="280"/>
        <v>1</v>
      </c>
    </row>
    <row r="460" spans="1:26">
      <c r="A460" s="95">
        <v>9</v>
      </c>
      <c r="B460" s="95">
        <f>Singles!J121</f>
        <v>0</v>
      </c>
      <c r="C460" s="100" t="str">
        <f>IF(OR(LEFT(B460,LEN(B$10))=B$10,LEFT(B460,LEN(C$10))=C$10,LEN(B460)&lt;2),"","Wrong pick")</f>
        <v/>
      </c>
      <c r="D460" s="95">
        <f t="shared" ca="1" si="270"/>
        <v>0</v>
      </c>
      <c r="G460" s="95" t="str">
        <f>IF(B460=0,"",IF(LEFT(B460,LEN(B$10))=B$10,B$10,C$10))</f>
        <v/>
      </c>
      <c r="H460" s="95" t="str">
        <f t="shared" si="271"/>
        <v>0-0</v>
      </c>
      <c r="I460" s="95" t="str">
        <f ca="1">IF(AND(J460=Singles!$H$21,INDIRECT(ADDRESS(A460+1,6,1))=0,NOT(INDIRECT(ADDRESS(A460+1,5,1))="")),IF(D460=0,IF(H460=H478,"",G460&amp;" "&amp;H460&amp;" v "&amp;H478&amp;", "),G460&amp;" "&amp;H460&amp;" vs. "&amp;G478&amp;" "&amp;H478&amp;", "),"")</f>
        <v/>
      </c>
      <c r="J460" s="97">
        <f>Singles!H$11</f>
        <v>1</v>
      </c>
      <c r="K460" s="95" t="str">
        <f t="shared" si="272"/>
        <v>SR</v>
      </c>
      <c r="L460" s="95" t="str">
        <f t="shared" si="273"/>
        <v>0</v>
      </c>
      <c r="M460" s="95" t="str">
        <f t="shared" si="274"/>
        <v>0</v>
      </c>
      <c r="N460" s="95" t="str">
        <f t="shared" si="275"/>
        <v>0</v>
      </c>
      <c r="O460" s="95" t="str">
        <f t="shared" si="276"/>
        <v>0</v>
      </c>
      <c r="P460" s="95" t="str">
        <f t="shared" si="277"/>
        <v>0</v>
      </c>
      <c r="Q460" s="95">
        <f>IF(AND(G460=T$10,LEN(G460)&gt;1),1,0)</f>
        <v>0</v>
      </c>
      <c r="R460" s="97">
        <f>Singles!D$11</f>
        <v>9</v>
      </c>
      <c r="S460" s="95">
        <f>IF(AND(H460=H$10,LEN(H460)&gt;1,Q460=1),1,0)</f>
        <v>0</v>
      </c>
      <c r="T460" s="95" t="str">
        <f>VLOOKUP("Winner",T470:U486,2,0)</f>
        <v>Tied; see PTS</v>
      </c>
      <c r="U460" s="95">
        <f>VLOOKUP(T460,U470:W486,3,0)</f>
        <v>17</v>
      </c>
      <c r="V460" s="97">
        <f>VLOOKUP(9,X452:Y467,2,0)</f>
        <v>1</v>
      </c>
      <c r="X460" s="95">
        <f t="shared" si="278"/>
        <v>9</v>
      </c>
      <c r="Y460" s="95">
        <f t="shared" si="279"/>
        <v>1</v>
      </c>
      <c r="Z460" s="95">
        <f t="shared" si="280"/>
        <v>1</v>
      </c>
    </row>
    <row r="461" spans="1:26">
      <c r="A461" s="95">
        <v>10</v>
      </c>
      <c r="B461" s="95">
        <f>Singles!J122</f>
        <v>0</v>
      </c>
      <c r="C461" s="100" t="str">
        <f>IF(OR(LEFT(B461,LEN(B$11))=B$11,LEFT(B461,LEN(C$11))=C$11,LEN(B461)&lt;2),"","Wrong pick")</f>
        <v/>
      </c>
      <c r="D461" s="95">
        <f t="shared" ca="1" si="270"/>
        <v>0</v>
      </c>
      <c r="G461" s="95" t="str">
        <f>IF(B461=0,"",IF(LEFT(B461,LEN(B$11))=B$11,B$11,C$11))</f>
        <v/>
      </c>
      <c r="H461" s="95" t="str">
        <f t="shared" si="271"/>
        <v>0-0</v>
      </c>
      <c r="I461" s="95" t="str">
        <f ca="1">IF(AND(J461=Singles!$H$21,INDIRECT(ADDRESS(A461+1,6,1))=0,NOT(INDIRECT(ADDRESS(A461+1,5,1))="")),IF(D461=0,IF(H461=H479,"",G461&amp;" "&amp;H461&amp;" v "&amp;H479&amp;", "),G461&amp;" "&amp;H461&amp;" vs. "&amp;G479&amp;" "&amp;H479&amp;", "),"")</f>
        <v/>
      </c>
      <c r="J461" s="97">
        <f>Singles!H$12</f>
        <v>1</v>
      </c>
      <c r="K461" s="95" t="str">
        <f t="shared" si="272"/>
        <v>SR</v>
      </c>
      <c r="L461" s="95" t="str">
        <f t="shared" si="273"/>
        <v>0</v>
      </c>
      <c r="M461" s="95" t="str">
        <f t="shared" si="274"/>
        <v>0</v>
      </c>
      <c r="N461" s="95" t="str">
        <f t="shared" si="275"/>
        <v>0</v>
      </c>
      <c r="O461" s="95" t="str">
        <f t="shared" si="276"/>
        <v>0</v>
      </c>
      <c r="P461" s="95" t="str">
        <f t="shared" si="277"/>
        <v>0</v>
      </c>
      <c r="Q461" s="95">
        <f>IF(AND(G461=T$11,LEN(G461)&gt;1),1,0)</f>
        <v>0</v>
      </c>
      <c r="R461" s="97">
        <f>Singles!D$12</f>
        <v>10</v>
      </c>
      <c r="S461" s="95">
        <f>IF(AND(H461=H$11,LEN(H461)&gt;1,Q461=1),1,0)</f>
        <v>0</v>
      </c>
      <c r="V461" s="97">
        <f>VLOOKUP(10,X452:Y467,2,0)</f>
        <v>1</v>
      </c>
      <c r="X461" s="95">
        <f t="shared" si="278"/>
        <v>10</v>
      </c>
      <c r="Y461" s="95">
        <f t="shared" si="279"/>
        <v>1</v>
      </c>
      <c r="Z461" s="95">
        <f t="shared" si="280"/>
        <v>1</v>
      </c>
    </row>
    <row r="462" spans="1:26">
      <c r="A462" s="95">
        <v>11</v>
      </c>
      <c r="B462" s="95">
        <f>Singles!J123</f>
        <v>0</v>
      </c>
      <c r="C462" s="100" t="str">
        <f>IF(OR(LEFT(B462,LEN(B$12))=B$12,LEFT(B462,LEN(C$12))=C$12,LEN(B462)&lt;2),"","Wrong pick")</f>
        <v/>
      </c>
      <c r="D462" s="95">
        <f t="shared" ca="1" si="270"/>
        <v>0</v>
      </c>
      <c r="G462" s="95" t="str">
        <f>IF(B462=0,"",IF(LEFT(B462,LEN(B$12))=B$12,B$12,C$12))</f>
        <v/>
      </c>
      <c r="H462" s="95" t="str">
        <f t="shared" si="271"/>
        <v>0-0</v>
      </c>
      <c r="I462" s="95" t="str">
        <f ca="1">IF(AND(J462=Singles!$H$21,INDIRECT(ADDRESS(A462+1,6,1))=0,NOT(INDIRECT(ADDRESS(A462+1,5,1))="")),IF(D462=0,IF(H462=H480,"",G462&amp;" "&amp;H462&amp;" v "&amp;H480&amp;", "),G462&amp;" "&amp;H462&amp;" vs. "&amp;G480&amp;" "&amp;H480&amp;", "),"")</f>
        <v/>
      </c>
      <c r="J462" s="97">
        <f>Singles!H$13</f>
        <v>1</v>
      </c>
      <c r="K462" s="95" t="str">
        <f t="shared" si="272"/>
        <v>SR</v>
      </c>
      <c r="L462" s="95" t="str">
        <f t="shared" si="273"/>
        <v>0</v>
      </c>
      <c r="M462" s="95" t="str">
        <f t="shared" si="274"/>
        <v>0</v>
      </c>
      <c r="N462" s="95" t="str">
        <f t="shared" si="275"/>
        <v>0</v>
      </c>
      <c r="O462" s="95" t="str">
        <f t="shared" si="276"/>
        <v>0</v>
      </c>
      <c r="P462" s="95" t="str">
        <f t="shared" si="277"/>
        <v>0</v>
      </c>
      <c r="Q462" s="95">
        <f>IF(AND(G462=T$12,LEN(G462)&gt;1),1,0)</f>
        <v>0</v>
      </c>
      <c r="R462" s="97">
        <f>Singles!D$13</f>
        <v>11</v>
      </c>
      <c r="S462" s="95">
        <f>IF(AND(H462=H$12,LEN(H462)&gt;1,Q462=1),1,0)</f>
        <v>0</v>
      </c>
      <c r="V462" s="97">
        <f>VLOOKUP(11,X452:Y467,2,0)</f>
        <v>1</v>
      </c>
      <c r="X462" s="95">
        <f t="shared" si="278"/>
        <v>11</v>
      </c>
      <c r="Y462" s="95">
        <f t="shared" si="279"/>
        <v>1</v>
      </c>
      <c r="Z462" s="95">
        <f t="shared" si="280"/>
        <v>1</v>
      </c>
    </row>
    <row r="463" spans="1:26">
      <c r="A463" s="95">
        <v>12</v>
      </c>
      <c r="B463" s="95">
        <f>Singles!J124</f>
        <v>0</v>
      </c>
      <c r="C463" s="100" t="str">
        <f>IF(OR(LEFT(B463,LEN(B$13))=B$13,LEFT(B463,LEN(C$13))=C$13,LEN(B463)&lt;2),"","Wrong pick")</f>
        <v/>
      </c>
      <c r="D463" s="95">
        <f t="shared" ca="1" si="270"/>
        <v>0</v>
      </c>
      <c r="G463" s="95" t="str">
        <f>IF(B463=0,"",IF(LEFT(B463,LEN(B$13))=B$13,B$13,C$13))</f>
        <v/>
      </c>
      <c r="H463" s="95" t="str">
        <f t="shared" si="271"/>
        <v>0-0</v>
      </c>
      <c r="I463" s="95" t="str">
        <f ca="1">IF(AND(J463=Singles!$H$21,INDIRECT(ADDRESS(A463+1,6,1))=0,NOT(INDIRECT(ADDRESS(A463+1,5,1))="")),IF(D463=0,IF(H463=H481,"",G463&amp;" "&amp;H463&amp;" v "&amp;H481&amp;", "),G463&amp;" "&amp;H463&amp;" vs. "&amp;G481&amp;" "&amp;H481&amp;", "),"")</f>
        <v/>
      </c>
      <c r="J463" s="97">
        <f>Singles!H$14</f>
        <v>1</v>
      </c>
      <c r="K463" s="95" t="str">
        <f t="shared" si="272"/>
        <v>SR</v>
      </c>
      <c r="L463" s="95" t="str">
        <f t="shared" si="273"/>
        <v>0</v>
      </c>
      <c r="M463" s="95" t="str">
        <f t="shared" si="274"/>
        <v>0</v>
      </c>
      <c r="N463" s="95" t="str">
        <f t="shared" si="275"/>
        <v>0</v>
      </c>
      <c r="O463" s="95" t="str">
        <f t="shared" si="276"/>
        <v>0</v>
      </c>
      <c r="P463" s="95" t="str">
        <f t="shared" si="277"/>
        <v>0</v>
      </c>
      <c r="Q463" s="95">
        <f>IF(AND(G463=T$13,LEN(G463)&gt;1),1,0)</f>
        <v>0</v>
      </c>
      <c r="R463" s="97">
        <f>Singles!D$14</f>
        <v>12</v>
      </c>
      <c r="S463" s="95">
        <f>IF(AND(H463=H$13,LEN(H463)&gt;1,Q463=1),1,0)</f>
        <v>0</v>
      </c>
      <c r="V463" s="97">
        <f>VLOOKUP(12,X452:Y467,2,0)</f>
        <v>1</v>
      </c>
      <c r="X463" s="95">
        <f t="shared" si="278"/>
        <v>12</v>
      </c>
      <c r="Y463" s="95">
        <f t="shared" si="279"/>
        <v>1</v>
      </c>
      <c r="Z463" s="95">
        <f t="shared" si="280"/>
        <v>1</v>
      </c>
    </row>
    <row r="464" spans="1:26">
      <c r="A464" s="95">
        <v>13</v>
      </c>
      <c r="B464" s="95">
        <f>Singles!J125</f>
        <v>0</v>
      </c>
      <c r="C464" s="100" t="str">
        <f>IF(OR(LEFT(B464,LEN(B$14))=B$14,LEFT(B464,LEN(C$14))=C$14,LEN(B464)&lt;2),"","Wrong pick")</f>
        <v/>
      </c>
      <c r="D464" s="95">
        <f t="shared" ca="1" si="270"/>
        <v>0</v>
      </c>
      <c r="G464" s="95" t="str">
        <f>IF(B464=0,"",IF(LEFT(B464,LEN(B$14))=B$14,B$14,C$14))</f>
        <v/>
      </c>
      <c r="H464" s="95" t="str">
        <f t="shared" si="271"/>
        <v>0-0</v>
      </c>
      <c r="I464" s="95" t="str">
        <f ca="1">IF(AND(J464=Singles!$H$21,INDIRECT(ADDRESS(A464+1,6,1))=0,NOT(INDIRECT(ADDRESS(A464+1,5,1))="")),IF(D464=0,IF(H464=H482,"",G464&amp;" "&amp;H464&amp;" v "&amp;H482&amp;", "),G464&amp;" "&amp;H464&amp;" vs. "&amp;G482&amp;" "&amp;H482&amp;", "),"")</f>
        <v/>
      </c>
      <c r="J464" s="97">
        <f>Singles!H$15</f>
        <v>1</v>
      </c>
      <c r="K464" s="95" t="str">
        <f t="shared" si="272"/>
        <v>SR</v>
      </c>
      <c r="L464" s="95" t="str">
        <f t="shared" si="273"/>
        <v>0</v>
      </c>
      <c r="M464" s="95" t="str">
        <f t="shared" si="274"/>
        <v>0</v>
      </c>
      <c r="N464" s="95" t="str">
        <f t="shared" si="275"/>
        <v>0</v>
      </c>
      <c r="O464" s="95" t="str">
        <f t="shared" si="276"/>
        <v>0</v>
      </c>
      <c r="P464" s="95" t="str">
        <f t="shared" si="277"/>
        <v>0</v>
      </c>
      <c r="Q464" s="95">
        <f>IF(AND(G464=T$14,LEN(G464)&gt;1),1,0)</f>
        <v>0</v>
      </c>
      <c r="R464" s="97">
        <f>Singles!D$15</f>
        <v>13</v>
      </c>
      <c r="S464" s="95">
        <f>IF(AND(H464=H$14,LEN(H464)&gt;1,Q464=1),1,0)</f>
        <v>0</v>
      </c>
      <c r="V464" s="97">
        <f>VLOOKUP(13,X452:Y467,2,0)</f>
        <v>1</v>
      </c>
      <c r="X464" s="95">
        <f t="shared" si="278"/>
        <v>13</v>
      </c>
      <c r="Y464" s="95">
        <f t="shared" si="279"/>
        <v>1</v>
      </c>
      <c r="Z464" s="95">
        <f t="shared" si="280"/>
        <v>1</v>
      </c>
    </row>
    <row r="465" spans="1:26">
      <c r="A465" s="95">
        <v>14</v>
      </c>
      <c r="B465" s="95">
        <f>Singles!J126</f>
        <v>0</v>
      </c>
      <c r="C465" s="100" t="str">
        <f>IF(OR(LEFT(B465,LEN(B$15))=B$15,LEFT(B465,LEN(C$15))=C$15,LEN(B465)&lt;2),"","Wrong pick")</f>
        <v/>
      </c>
      <c r="D465" s="95">
        <f t="shared" ca="1" si="270"/>
        <v>0</v>
      </c>
      <c r="G465" s="95" t="str">
        <f>IF(B465=0,"",IF(LEFT(B465,LEN(B$15))=B$15,B$15,C$15))</f>
        <v/>
      </c>
      <c r="H465" s="95" t="str">
        <f t="shared" si="271"/>
        <v>0-0</v>
      </c>
      <c r="I465" s="95" t="str">
        <f ca="1">IF(AND(J465=Singles!$H$21,INDIRECT(ADDRESS(A465+1,6,1))=0,NOT(INDIRECT(ADDRESS(A465+1,5,1))="")),IF(D465=0,IF(H465=H483,"",G465&amp;" "&amp;H465&amp;" v "&amp;H483&amp;", "),G465&amp;" "&amp;H465&amp;" vs. "&amp;G483&amp;" "&amp;H483&amp;", "),"")</f>
        <v/>
      </c>
      <c r="J465" s="97">
        <f>Singles!H$16</f>
        <v>1</v>
      </c>
      <c r="K465" s="95" t="str">
        <f t="shared" si="272"/>
        <v>SR</v>
      </c>
      <c r="L465" s="95" t="str">
        <f t="shared" si="273"/>
        <v>0</v>
      </c>
      <c r="M465" s="95" t="str">
        <f t="shared" si="274"/>
        <v>0</v>
      </c>
      <c r="N465" s="95" t="str">
        <f t="shared" si="275"/>
        <v>0</v>
      </c>
      <c r="O465" s="95" t="str">
        <f t="shared" si="276"/>
        <v>0</v>
      </c>
      <c r="P465" s="95" t="str">
        <f t="shared" si="277"/>
        <v>0</v>
      </c>
      <c r="Q465" s="95">
        <f>IF(AND(G465=T$15,LEN(G465)&gt;1),1,0)</f>
        <v>0</v>
      </c>
      <c r="R465" s="97">
        <f>Singles!D$16</f>
        <v>14</v>
      </c>
      <c r="S465" s="95">
        <f>IF(AND(H465=H$15,LEN(H465)&gt;1,Q465=1),1,0)</f>
        <v>0</v>
      </c>
      <c r="V465" s="97">
        <f>VLOOKUP(14,X452:Y467,2,0)</f>
        <v>1</v>
      </c>
      <c r="X465" s="95">
        <f t="shared" si="278"/>
        <v>14</v>
      </c>
      <c r="Y465" s="95">
        <f t="shared" si="279"/>
        <v>1</v>
      </c>
      <c r="Z465" s="95">
        <f t="shared" si="280"/>
        <v>1</v>
      </c>
    </row>
    <row r="466" spans="1:26">
      <c r="A466" s="95">
        <v>15</v>
      </c>
      <c r="B466" s="95">
        <f>Singles!J127</f>
        <v>0</v>
      </c>
      <c r="C466" s="100" t="str">
        <f>IF(OR(LEFT(B466,LEN(B$16))=B$16,LEFT(B466,LEN(C$16))=C$16,LEN(B466)&lt;2),"","Wrong pick")</f>
        <v/>
      </c>
      <c r="D466" s="95">
        <f t="shared" ca="1" si="270"/>
        <v>0</v>
      </c>
      <c r="G466" s="95" t="str">
        <f>IF(B466=0,"",IF(LEFT(B466,LEN(B$16))=B$16,B$16,C$16))</f>
        <v/>
      </c>
      <c r="H466" s="95" t="str">
        <f t="shared" si="271"/>
        <v>0-0</v>
      </c>
      <c r="I466" s="95" t="str">
        <f ca="1">IF(AND(J466=Singles!$H$21,INDIRECT(ADDRESS(A466+1,6,1))=0,NOT(INDIRECT(ADDRESS(A466+1,5,1))="")),IF(D466=0,IF(H466=H484,"",G466&amp;" "&amp;H466&amp;" v "&amp;H484&amp;", "),G466&amp;" "&amp;H466&amp;" vs. "&amp;G484&amp;" "&amp;H484&amp;", "),"")</f>
        <v/>
      </c>
      <c r="J466" s="97">
        <f>Singles!H$17</f>
        <v>1</v>
      </c>
      <c r="K466" s="95" t="str">
        <f t="shared" si="272"/>
        <v>SR</v>
      </c>
      <c r="L466" s="95" t="str">
        <f t="shared" si="273"/>
        <v>0</v>
      </c>
      <c r="M466" s="95" t="str">
        <f t="shared" si="274"/>
        <v>0</v>
      </c>
      <c r="N466" s="95" t="str">
        <f t="shared" si="275"/>
        <v>0</v>
      </c>
      <c r="O466" s="95" t="str">
        <f t="shared" si="276"/>
        <v>0</v>
      </c>
      <c r="P466" s="95" t="str">
        <f t="shared" si="277"/>
        <v>0</v>
      </c>
      <c r="Q466" s="95">
        <f>IF(AND(G466=T$16,LEN(G466)&gt;1),1,0)</f>
        <v>0</v>
      </c>
      <c r="R466" s="97">
        <f>Singles!D$17</f>
        <v>15</v>
      </c>
      <c r="S466" s="95">
        <f>IF(AND(H466=H$16,LEN(H466)&gt;1,Q466=1),1,0)</f>
        <v>0</v>
      </c>
      <c r="V466" s="97">
        <f>VLOOKUP(15,X452:Y467,2,0)</f>
        <v>1</v>
      </c>
      <c r="X466" s="95">
        <f t="shared" si="278"/>
        <v>15</v>
      </c>
      <c r="Y466" s="95">
        <f t="shared" si="279"/>
        <v>1</v>
      </c>
      <c r="Z466" s="95">
        <f t="shared" si="280"/>
        <v>1</v>
      </c>
    </row>
    <row r="467" spans="1:26">
      <c r="A467" s="95">
        <v>16</v>
      </c>
      <c r="B467" s="95">
        <f>Singles!J128</f>
        <v>0</v>
      </c>
      <c r="C467" s="100" t="str">
        <f>IF(OR(LEFT(B467,LEN(B$17))=B$17,LEFT(B467,LEN(C$17))=C$17,LEN(B467)&lt;2),"","Wrong pick")</f>
        <v/>
      </c>
      <c r="D467" s="95">
        <f t="shared" ca="1" si="270"/>
        <v>0</v>
      </c>
      <c r="G467" s="95" t="str">
        <f>IF(B467=0,"",IF(LEFT(B467,LEN(B$17))=B$17,B$17,C$17))</f>
        <v/>
      </c>
      <c r="H467" s="95" t="str">
        <f t="shared" si="271"/>
        <v>0-0</v>
      </c>
      <c r="I467" s="95" t="str">
        <f ca="1">IF(AND(J467=Singles!$H$21,INDIRECT(ADDRESS(A467+1,6,1))=0,NOT(INDIRECT(ADDRESS(A467+1,5,1))="")),IF(D467=0,IF(H467=H485,"",G467&amp;" "&amp;H467&amp;" v "&amp;H485&amp;", "),G467&amp;" "&amp;H467&amp;" vs. "&amp;G485&amp;" "&amp;H485&amp;", "),"")</f>
        <v/>
      </c>
      <c r="J467" s="97">
        <f>Singles!H$18</f>
        <v>1</v>
      </c>
      <c r="K467" s="95" t="str">
        <f t="shared" si="272"/>
        <v>SR</v>
      </c>
      <c r="L467" s="95" t="str">
        <f t="shared" si="273"/>
        <v>0</v>
      </c>
      <c r="M467" s="95" t="str">
        <f t="shared" si="274"/>
        <v>0</v>
      </c>
      <c r="N467" s="95" t="str">
        <f t="shared" si="275"/>
        <v>0</v>
      </c>
      <c r="O467" s="95" t="str">
        <f t="shared" si="276"/>
        <v>0</v>
      </c>
      <c r="P467" s="95" t="str">
        <f t="shared" si="277"/>
        <v>0</v>
      </c>
      <c r="Q467" s="95">
        <f>IF(AND(G467=T$17,LEN(G467)&gt;1),1,0)</f>
        <v>0</v>
      </c>
      <c r="R467" s="97">
        <f>Singles!D$18</f>
        <v>16</v>
      </c>
      <c r="S467" s="95">
        <f>IF(AND(H467=H$17,LEN(H467)&gt;1,Q467=1),1,0)</f>
        <v>0</v>
      </c>
      <c r="V467" s="97">
        <f>VLOOKUP(16,X452:Y467,2,0)</f>
        <v>1</v>
      </c>
      <c r="X467" s="95">
        <f t="shared" si="278"/>
        <v>16</v>
      </c>
      <c r="Y467" s="95">
        <f t="shared" si="279"/>
        <v>1</v>
      </c>
      <c r="Z467" s="95">
        <f t="shared" si="280"/>
        <v>1</v>
      </c>
    </row>
    <row r="469" spans="1:26">
      <c r="A469" s="95" t="e">
        <f>IF(LEN(VLOOKUP(B469,Singles!$A$2:$B$33,2,0))&gt;0,VLOOKUP(B469,Singles!$A$2:$B$33,2,0),"")</f>
        <v>#N/A</v>
      </c>
      <c r="B469" s="96">
        <f>Singles!K112</f>
        <v>0</v>
      </c>
      <c r="C469" s="96">
        <v>26</v>
      </c>
      <c r="D469" s="95" t="e">
        <f>VLOOKUP(B469,Singles!$A$2:$C$33,3,0)</f>
        <v>#N/A</v>
      </c>
      <c r="J469" s="95" t="s">
        <v>88</v>
      </c>
      <c r="Q469" s="95" t="s">
        <v>121</v>
      </c>
      <c r="S469" s="95" t="s">
        <v>122</v>
      </c>
      <c r="T469" s="95" t="e">
        <f>IF(LEN(A469)&gt;0,"("&amp;A469&amp;") "&amp;B469,B469)&amp;IF(LEN(D469)&gt;1," ("&amp;D469&amp;")","")</f>
        <v>#N/A</v>
      </c>
      <c r="V469" s="95" t="s">
        <v>123</v>
      </c>
      <c r="Y469" s="95" t="s">
        <v>123</v>
      </c>
    </row>
    <row r="470" spans="1:26">
      <c r="A470" s="95">
        <v>1</v>
      </c>
      <c r="B470" s="95">
        <f>Singles!K113</f>
        <v>0</v>
      </c>
      <c r="C470" s="99" t="str">
        <f>IF(OR(LEFT(B470,LEN(B$2))=B$2,LEFT(B470,LEN(C$2))=C$2,LEN(B470)&lt;2),"","Wrong pick")</f>
        <v/>
      </c>
      <c r="E470" s="95" t="str">
        <f ca="1">IF(AND(D452=1,J470=$I$2),G470&amp;", ","")&amp;IF(AND(D453=1,J471=$I$2),G471&amp;", ","")&amp;IF(AND(D454=1,J472=$I$2),G472&amp;", ","")&amp;IF(AND(D455=1,J473=$I$2),G473&amp;", ","")&amp;IF(AND(D456=1,J474=$I$2),G474&amp;", ","")&amp;IF(AND(D457=1,J475=$I$2),G475&amp;", ","")&amp;IF(AND(D458=1,J476=$I$2),G476&amp;", ","")&amp;IF(AND(D459=1,J477=$I$2),G477&amp;", ","")&amp;IF(AND(D460=1,J478=$I$2),G478&amp;", ","")&amp;IF(AND(D461=1,J479=$I$2),G479&amp;", ","")&amp;IF(AND(D462=1,J480=$I$2),G480&amp;", ","")&amp;IF(AND(D463=1,J481=$I$2),G481&amp;", ","")&amp;IF(AND(D464=1,J482=$I$2),G482&amp;", ","")&amp;IF(AND(D465=1,J483=$I$2),G483&amp;", ","")&amp;IF(AND(D466=1,J484=$I$2),G484&amp;", ","")&amp;IF(AND(D467=1,J485=$I$2),G485&amp;", ","")</f>
        <v/>
      </c>
      <c r="F470" s="95" t="str">
        <f>IF(AND(SUM(Z470:Z485)=$I$4,NOT(B469="Bye")),"Missing picks from "&amp;B469&amp;" ","")</f>
        <v xml:space="preserve">Missing picks from 0 </v>
      </c>
      <c r="G470" s="95" t="str">
        <f>IF(B470=0,"",IF(LEFT(B470,LEN(B$2))=B$2,B$2,C$2))</f>
        <v/>
      </c>
      <c r="H470" s="95" t="str">
        <f t="shared" ref="H470:H485" si="281">IF(L470="","",IF(K470="PTS",IF(LEN(O470)&lt;8,"2-0","2-1"),LEFT(O470,1)&amp;"-"&amp;RIGHT(O470,1)))</f>
        <v>0-0</v>
      </c>
      <c r="J470" s="97">
        <f>Singles!H$3</f>
        <v>1</v>
      </c>
      <c r="K470" s="95" t="str">
        <f t="shared" ref="K470:K485" si="282">IF(LEN(L470)&gt;0,IF(LEN(O470)&lt;4,"SR","PTS"),"")</f>
        <v>SR</v>
      </c>
      <c r="L470" s="95" t="str">
        <f t="shared" ref="L470:L485" si="283">TRIM(RIGHT(B470,LEN(B470)-LEN(G470)))</f>
        <v>0</v>
      </c>
      <c r="M470" s="95" t="str">
        <f t="shared" ref="M470:M485" si="284">SUBSTITUTE(L470,"-","")</f>
        <v>0</v>
      </c>
      <c r="N470" s="95" t="str">
        <f t="shared" ref="N470:N485" si="285">SUBSTITUTE(M470,","," ")</f>
        <v>0</v>
      </c>
      <c r="O470" s="95" t="str">
        <f t="shared" ref="O470:O485" si="286">IF(AND(LEN(TRIM(SUBSTITUTE(P470,"/","")))&gt;6,OR(LEFT(TRIM(SUBSTITUTE(P470,"/","")),2)="20",LEFT(TRIM(SUBSTITUTE(P470,"/","")),2)="21")),RIGHT(TRIM(SUBSTITUTE(P470,"/","")),LEN(TRIM(SUBSTITUTE(P470,"/","")))-3),TRIM(SUBSTITUTE(P470,"/","")))</f>
        <v>0</v>
      </c>
      <c r="P470" s="95" t="str">
        <f t="shared" ref="P470:P485" si="287">SUBSTITUTE(N470,":","")</f>
        <v>0</v>
      </c>
      <c r="Q470" s="95">
        <f>IF(AND(G470=T$2,LEN(G470)&gt;1),1,0)</f>
        <v>0</v>
      </c>
      <c r="R470" s="97">
        <f>Singles!D$3</f>
        <v>1</v>
      </c>
      <c r="S470" s="95">
        <f>IF(AND(H470=H$2,LEN(H470)&gt;1,Q470=1),1,0)</f>
        <v>0</v>
      </c>
      <c r="T470" s="95" t="str">
        <f t="shared" ref="T470:T485" si="288">IF(V452=V470,"No","Winner")</f>
        <v>No</v>
      </c>
      <c r="U470" s="95" t="str">
        <f>IF(T470="Winner",IF(V470&gt;V452,B469,B451),"")</f>
        <v/>
      </c>
      <c r="V470" s="97">
        <f>VLOOKUP(1,X470:Y485,2,0)</f>
        <v>1</v>
      </c>
      <c r="W470" s="95">
        <v>1</v>
      </c>
      <c r="X470" s="95">
        <f t="shared" ref="X470:X485" si="289">R470</f>
        <v>1</v>
      </c>
      <c r="Y470" s="95">
        <f t="shared" ref="Y470:Y485" si="290">IF(Q470=1,IF(S470=1,4,3),IF(H470="2-1",2,1))</f>
        <v>1</v>
      </c>
      <c r="Z470" s="95">
        <f t="shared" ref="Z470:Z485" si="291">IF(AND($I$2=J470,B470=0),1,0)</f>
        <v>1</v>
      </c>
    </row>
    <row r="471" spans="1:26">
      <c r="A471" s="95">
        <v>2</v>
      </c>
      <c r="B471" s="95">
        <f>Singles!K114</f>
        <v>0</v>
      </c>
      <c r="C471" s="100" t="str">
        <f>IF(OR(LEFT(B471,LEN(B$3))=B$3,LEFT(B471,LEN(C$3))=C$3,LEN(B471)&lt;2),"","Wrong pick")</f>
        <v/>
      </c>
      <c r="G471" s="95" t="str">
        <f>IF(B471=0,"",IF(LEFT(B471,LEN(B$3))=B$3,B$3,C$3))</f>
        <v/>
      </c>
      <c r="H471" s="95" t="str">
        <f t="shared" si="281"/>
        <v>0-0</v>
      </c>
      <c r="J471" s="97">
        <f>Singles!H$4</f>
        <v>1</v>
      </c>
      <c r="K471" s="95" t="str">
        <f t="shared" si="282"/>
        <v>SR</v>
      </c>
      <c r="L471" s="95" t="str">
        <f t="shared" si="283"/>
        <v>0</v>
      </c>
      <c r="M471" s="95" t="str">
        <f t="shared" si="284"/>
        <v>0</v>
      </c>
      <c r="N471" s="95" t="str">
        <f t="shared" si="285"/>
        <v>0</v>
      </c>
      <c r="O471" s="95" t="str">
        <f t="shared" si="286"/>
        <v>0</v>
      </c>
      <c r="P471" s="95" t="str">
        <f t="shared" si="287"/>
        <v>0</v>
      </c>
      <c r="Q471" s="95">
        <f>IF(AND(G471=T$3,LEN(G471)&gt;1),1,0)</f>
        <v>0</v>
      </c>
      <c r="R471" s="97">
        <f>Singles!D$4</f>
        <v>2</v>
      </c>
      <c r="S471" s="95">
        <f>IF(AND(H471=H$3,LEN(H471)&gt;1,Q471=1),1,0)</f>
        <v>0</v>
      </c>
      <c r="T471" s="95" t="str">
        <f t="shared" si="288"/>
        <v>No</v>
      </c>
      <c r="U471" s="95" t="str">
        <f>IF(T471="Winner",IF(V471&gt;V453,B469,B451),"")</f>
        <v/>
      </c>
      <c r="V471" s="97">
        <f>VLOOKUP(2,X470:Y485,2,0)</f>
        <v>1</v>
      </c>
      <c r="W471" s="95">
        <v>2</v>
      </c>
      <c r="X471" s="95">
        <f t="shared" si="289"/>
        <v>2</v>
      </c>
      <c r="Y471" s="95">
        <f t="shared" si="290"/>
        <v>1</v>
      </c>
      <c r="Z471" s="95">
        <f t="shared" si="291"/>
        <v>1</v>
      </c>
    </row>
    <row r="472" spans="1:26">
      <c r="A472" s="95">
        <v>3</v>
      </c>
      <c r="B472" s="95">
        <f>Singles!K115</f>
        <v>0</v>
      </c>
      <c r="C472" s="100" t="str">
        <f>IF(OR(LEFT(B472,LEN(B$4))=B$4,LEFT(B472,LEN(C$4))=C$4,LEN(B472)&lt;2),"","Wrong pick")</f>
        <v/>
      </c>
      <c r="G472" s="95" t="str">
        <f>IF(B472=0,"",IF(LEFT(B472,LEN(B$4))=B$4,B$4,C$4))</f>
        <v/>
      </c>
      <c r="H472" s="95" t="str">
        <f t="shared" si="281"/>
        <v>0-0</v>
      </c>
      <c r="J472" s="97">
        <f>Singles!H$5</f>
        <v>1</v>
      </c>
      <c r="K472" s="95" t="str">
        <f t="shared" si="282"/>
        <v>SR</v>
      </c>
      <c r="L472" s="95" t="str">
        <f t="shared" si="283"/>
        <v>0</v>
      </c>
      <c r="M472" s="95" t="str">
        <f t="shared" si="284"/>
        <v>0</v>
      </c>
      <c r="N472" s="95" t="str">
        <f t="shared" si="285"/>
        <v>0</v>
      </c>
      <c r="O472" s="95" t="str">
        <f t="shared" si="286"/>
        <v>0</v>
      </c>
      <c r="P472" s="95" t="str">
        <f t="shared" si="287"/>
        <v>0</v>
      </c>
      <c r="Q472" s="95">
        <f>IF(AND(G472=T$4,LEN(G472)&gt;1),1,0)</f>
        <v>0</v>
      </c>
      <c r="R472" s="97">
        <f>Singles!D$5</f>
        <v>3</v>
      </c>
      <c r="S472" s="95">
        <f>IF(AND(H472=H$4,LEN(H472)&gt;1,Q472=1),1,0)</f>
        <v>0</v>
      </c>
      <c r="T472" s="95" t="str">
        <f t="shared" si="288"/>
        <v>No</v>
      </c>
      <c r="U472" s="95" t="str">
        <f>IF(T472="Winner",IF(V472&gt;V454,B469,B451),"")</f>
        <v/>
      </c>
      <c r="V472" s="97">
        <f>VLOOKUP(3,X470:Y485,2,0)</f>
        <v>1</v>
      </c>
      <c r="W472" s="95">
        <v>3</v>
      </c>
      <c r="X472" s="95">
        <f t="shared" si="289"/>
        <v>3</v>
      </c>
      <c r="Y472" s="95">
        <f t="shared" si="290"/>
        <v>1</v>
      </c>
      <c r="Z472" s="95">
        <f t="shared" si="291"/>
        <v>1</v>
      </c>
    </row>
    <row r="473" spans="1:26">
      <c r="A473" s="95">
        <v>4</v>
      </c>
      <c r="B473" s="95">
        <f>Singles!K116</f>
        <v>0</v>
      </c>
      <c r="C473" s="100" t="str">
        <f>IF(OR(LEFT(B473,LEN(B$5))=B$5,LEFT(B473,LEN(C$5))=C$5,LEN(B473)&lt;2),"","Wrong pick")</f>
        <v/>
      </c>
      <c r="G473" s="95" t="str">
        <f>IF(B473=0,"",IF(LEFT(B473,LEN(B$5))=B$5,B$5,C$5))</f>
        <v/>
      </c>
      <c r="H473" s="95" t="str">
        <f t="shared" si="281"/>
        <v>0-0</v>
      </c>
      <c r="J473" s="97">
        <f>Singles!H$6</f>
        <v>1</v>
      </c>
      <c r="K473" s="95" t="str">
        <f t="shared" si="282"/>
        <v>SR</v>
      </c>
      <c r="L473" s="95" t="str">
        <f t="shared" si="283"/>
        <v>0</v>
      </c>
      <c r="M473" s="95" t="str">
        <f t="shared" si="284"/>
        <v>0</v>
      </c>
      <c r="N473" s="95" t="str">
        <f t="shared" si="285"/>
        <v>0</v>
      </c>
      <c r="O473" s="95" t="str">
        <f t="shared" si="286"/>
        <v>0</v>
      </c>
      <c r="P473" s="95" t="str">
        <f t="shared" si="287"/>
        <v>0</v>
      </c>
      <c r="Q473" s="95">
        <f>IF(AND(G473=T$5,LEN(G473)&gt;1),1,0)</f>
        <v>0</v>
      </c>
      <c r="R473" s="97">
        <f>Singles!D$6</f>
        <v>4</v>
      </c>
      <c r="S473" s="95">
        <f>IF(AND(H473=H$5,LEN(H473)&gt;1,Q473=1),1,0)</f>
        <v>0</v>
      </c>
      <c r="T473" s="95" t="str">
        <f t="shared" si="288"/>
        <v>No</v>
      </c>
      <c r="U473" s="95" t="str">
        <f>IF(T473="Winner",IF(V473&gt;V455,B469,B451),"")</f>
        <v/>
      </c>
      <c r="V473" s="97">
        <f>VLOOKUP(4,X470:Y485,2,0)</f>
        <v>1</v>
      </c>
      <c r="W473" s="95">
        <v>4</v>
      </c>
      <c r="X473" s="95">
        <f t="shared" si="289"/>
        <v>4</v>
      </c>
      <c r="Y473" s="95">
        <f t="shared" si="290"/>
        <v>1</v>
      </c>
      <c r="Z473" s="95">
        <f t="shared" si="291"/>
        <v>1</v>
      </c>
    </row>
    <row r="474" spans="1:26">
      <c r="A474" s="95">
        <v>5</v>
      </c>
      <c r="B474" s="95">
        <f>Singles!K117</f>
        <v>0</v>
      </c>
      <c r="C474" s="100" t="str">
        <f>IF(OR(LEFT(B474,LEN(B$6))=B$6,LEFT(B474,LEN(C$6))=C$6,LEN(B474)&lt;2),"","Wrong pick")</f>
        <v/>
      </c>
      <c r="G474" s="95" t="str">
        <f>IF(B474=0,"",IF(LEFT(B474,LEN(B$6))=B$6,B$6,C$6))</f>
        <v/>
      </c>
      <c r="H474" s="95" t="str">
        <f t="shared" si="281"/>
        <v>0-0</v>
      </c>
      <c r="J474" s="97">
        <f>Singles!H$7</f>
        <v>1</v>
      </c>
      <c r="K474" s="95" t="str">
        <f t="shared" si="282"/>
        <v>SR</v>
      </c>
      <c r="L474" s="95" t="str">
        <f t="shared" si="283"/>
        <v>0</v>
      </c>
      <c r="M474" s="95" t="str">
        <f t="shared" si="284"/>
        <v>0</v>
      </c>
      <c r="N474" s="95" t="str">
        <f t="shared" si="285"/>
        <v>0</v>
      </c>
      <c r="O474" s="95" t="str">
        <f t="shared" si="286"/>
        <v>0</v>
      </c>
      <c r="P474" s="95" t="str">
        <f t="shared" si="287"/>
        <v>0</v>
      </c>
      <c r="Q474" s="95">
        <f>IF(AND(G474=T$6,LEN(G474)&gt;1),1,0)</f>
        <v>0</v>
      </c>
      <c r="R474" s="97">
        <f>Singles!D$7</f>
        <v>5</v>
      </c>
      <c r="S474" s="95">
        <f>IF(AND(H474=H$6,LEN(H474)&gt;1,Q474=1),1,0)</f>
        <v>0</v>
      </c>
      <c r="T474" s="95" t="str">
        <f t="shared" si="288"/>
        <v>No</v>
      </c>
      <c r="U474" s="95" t="str">
        <f>IF(T474="Winner",IF(V474&gt;V456,B469,B451),"")</f>
        <v/>
      </c>
      <c r="V474" s="97">
        <f>VLOOKUP(5,X470:Y485,2,0)</f>
        <v>1</v>
      </c>
      <c r="W474" s="95">
        <v>5</v>
      </c>
      <c r="X474" s="95">
        <f t="shared" si="289"/>
        <v>5</v>
      </c>
      <c r="Y474" s="95">
        <f t="shared" si="290"/>
        <v>1</v>
      </c>
      <c r="Z474" s="95">
        <f t="shared" si="291"/>
        <v>1</v>
      </c>
    </row>
    <row r="475" spans="1:26">
      <c r="A475" s="95">
        <v>6</v>
      </c>
      <c r="B475" s="95">
        <f>Singles!K118</f>
        <v>0</v>
      </c>
      <c r="C475" s="100" t="str">
        <f>IF(OR(LEFT(B475,LEN(B$7))=B$7,LEFT(B475,LEN(C$7))=C$7,LEN(B475)&lt;2),"","Wrong pick")</f>
        <v/>
      </c>
      <c r="G475" s="95" t="str">
        <f>IF(B475=0,"",IF(LEFT(B475,LEN(B$7))=B$7,B$7,C$7))</f>
        <v/>
      </c>
      <c r="H475" s="95" t="str">
        <f t="shared" si="281"/>
        <v>0-0</v>
      </c>
      <c r="J475" s="97">
        <f>Singles!H$8</f>
        <v>1</v>
      </c>
      <c r="K475" s="95" t="str">
        <f t="shared" si="282"/>
        <v>SR</v>
      </c>
      <c r="L475" s="95" t="str">
        <f t="shared" si="283"/>
        <v>0</v>
      </c>
      <c r="M475" s="95" t="str">
        <f t="shared" si="284"/>
        <v>0</v>
      </c>
      <c r="N475" s="95" t="str">
        <f t="shared" si="285"/>
        <v>0</v>
      </c>
      <c r="O475" s="95" t="str">
        <f t="shared" si="286"/>
        <v>0</v>
      </c>
      <c r="P475" s="95" t="str">
        <f t="shared" si="287"/>
        <v>0</v>
      </c>
      <c r="Q475" s="95">
        <f>IF(AND(G475=T$7,LEN(G475)&gt;1),1,0)</f>
        <v>0</v>
      </c>
      <c r="R475" s="97">
        <f>Singles!D$8</f>
        <v>6</v>
      </c>
      <c r="S475" s="95">
        <f>IF(AND(H475=H$7,LEN(H475)&gt;1,Q475=1),1,0)</f>
        <v>0</v>
      </c>
      <c r="T475" s="95" t="str">
        <f t="shared" si="288"/>
        <v>No</v>
      </c>
      <c r="U475" s="95" t="str">
        <f>IF(T475="Winner",IF(V475&gt;V457,B469,B451),"")</f>
        <v/>
      </c>
      <c r="V475" s="97">
        <f>VLOOKUP(6,X470:Y485,2,0)</f>
        <v>1</v>
      </c>
      <c r="W475" s="95">
        <v>6</v>
      </c>
      <c r="X475" s="95">
        <f t="shared" si="289"/>
        <v>6</v>
      </c>
      <c r="Y475" s="95">
        <f t="shared" si="290"/>
        <v>1</v>
      </c>
      <c r="Z475" s="95">
        <f t="shared" si="291"/>
        <v>1</v>
      </c>
    </row>
    <row r="476" spans="1:26">
      <c r="A476" s="95">
        <v>7</v>
      </c>
      <c r="B476" s="95">
        <f>Singles!K119</f>
        <v>0</v>
      </c>
      <c r="C476" s="100" t="str">
        <f>IF(OR(LEFT(B476,LEN(B$8))=B$8,LEFT(B476,LEN(C$8))=C$8,LEN(B476)&lt;2),"","Wrong pick")</f>
        <v/>
      </c>
      <c r="G476" s="95" t="str">
        <f>IF(B476=0,"",IF(LEFT(B476,LEN(B$8))=B$8,B$8,C$8))</f>
        <v/>
      </c>
      <c r="H476" s="95" t="str">
        <f t="shared" si="281"/>
        <v>0-0</v>
      </c>
      <c r="J476" s="97">
        <f>Singles!H$9</f>
        <v>1</v>
      </c>
      <c r="K476" s="95" t="str">
        <f t="shared" si="282"/>
        <v>SR</v>
      </c>
      <c r="L476" s="95" t="str">
        <f t="shared" si="283"/>
        <v>0</v>
      </c>
      <c r="M476" s="95" t="str">
        <f t="shared" si="284"/>
        <v>0</v>
      </c>
      <c r="N476" s="95" t="str">
        <f t="shared" si="285"/>
        <v>0</v>
      </c>
      <c r="O476" s="95" t="str">
        <f t="shared" si="286"/>
        <v>0</v>
      </c>
      <c r="P476" s="95" t="str">
        <f t="shared" si="287"/>
        <v>0</v>
      </c>
      <c r="Q476" s="95">
        <f>IF(AND(G476=T$8,LEN(G476)&gt;1),1,0)</f>
        <v>0</v>
      </c>
      <c r="R476" s="97">
        <f>Singles!D$9</f>
        <v>7</v>
      </c>
      <c r="S476" s="95">
        <f>IF(AND(H476=H$8,LEN(H476)&gt;1,Q476=1),1,0)</f>
        <v>0</v>
      </c>
      <c r="T476" s="95" t="str">
        <f t="shared" si="288"/>
        <v>No</v>
      </c>
      <c r="U476" s="95" t="str">
        <f>IF(T476="Winner",IF(V476&gt;V458,B469,B451),"")</f>
        <v/>
      </c>
      <c r="V476" s="97">
        <f>VLOOKUP(7,X470:Y485,2,0)</f>
        <v>1</v>
      </c>
      <c r="W476" s="95">
        <v>7</v>
      </c>
      <c r="X476" s="95">
        <f t="shared" si="289"/>
        <v>7</v>
      </c>
      <c r="Y476" s="95">
        <f t="shared" si="290"/>
        <v>1</v>
      </c>
      <c r="Z476" s="95">
        <f t="shared" si="291"/>
        <v>1</v>
      </c>
    </row>
    <row r="477" spans="1:26">
      <c r="A477" s="95">
        <v>8</v>
      </c>
      <c r="B477" s="95">
        <f>Singles!K120</f>
        <v>0</v>
      </c>
      <c r="C477" s="100" t="str">
        <f>IF(OR(LEFT(B477,LEN(B$9))=B$9,LEFT(B477,LEN(C$9))=C$9,LEN(B477)&lt;2),"","Wrong pick")</f>
        <v/>
      </c>
      <c r="G477" s="95" t="str">
        <f>IF(B477=0,"",IF(LEFT(B477,LEN(B$9))=B$9,B$9,C$9))</f>
        <v/>
      </c>
      <c r="H477" s="95" t="str">
        <f t="shared" si="281"/>
        <v>0-0</v>
      </c>
      <c r="J477" s="97">
        <f>Singles!H$10</f>
        <v>1</v>
      </c>
      <c r="K477" s="95" t="str">
        <f t="shared" si="282"/>
        <v>SR</v>
      </c>
      <c r="L477" s="95" t="str">
        <f t="shared" si="283"/>
        <v>0</v>
      </c>
      <c r="M477" s="95" t="str">
        <f t="shared" si="284"/>
        <v>0</v>
      </c>
      <c r="N477" s="95" t="str">
        <f t="shared" si="285"/>
        <v>0</v>
      </c>
      <c r="O477" s="95" t="str">
        <f t="shared" si="286"/>
        <v>0</v>
      </c>
      <c r="P477" s="95" t="str">
        <f t="shared" si="287"/>
        <v>0</v>
      </c>
      <c r="Q477" s="95">
        <f>IF(AND(G477=T$9,LEN(G477)&gt;1),1,0)</f>
        <v>0</v>
      </c>
      <c r="R477" s="97">
        <f>Singles!D$10</f>
        <v>8</v>
      </c>
      <c r="S477" s="95">
        <f>IF(AND(H477=H$9,LEN(H477)&gt;1,Q477=1),1,0)</f>
        <v>0</v>
      </c>
      <c r="T477" s="95" t="str">
        <f t="shared" si="288"/>
        <v>No</v>
      </c>
      <c r="U477" s="95" t="str">
        <f>IF(T477="Winner",IF(V477&gt;V459,B469,B451),"")</f>
        <v/>
      </c>
      <c r="V477" s="97">
        <f>VLOOKUP(8,X470:Y485,2,0)</f>
        <v>1</v>
      </c>
      <c r="W477" s="95">
        <v>8</v>
      </c>
      <c r="X477" s="95">
        <f t="shared" si="289"/>
        <v>8</v>
      </c>
      <c r="Y477" s="95">
        <f t="shared" si="290"/>
        <v>1</v>
      </c>
      <c r="Z477" s="95">
        <f t="shared" si="291"/>
        <v>1</v>
      </c>
    </row>
    <row r="478" spans="1:26">
      <c r="A478" s="95">
        <v>9</v>
      </c>
      <c r="B478" s="95">
        <f>Singles!K121</f>
        <v>0</v>
      </c>
      <c r="C478" s="100" t="str">
        <f>IF(OR(LEFT(B478,LEN(B$10))=B$10,LEFT(B478,LEN(C$10))=C$10,LEN(B478)&lt;2),"","Wrong pick")</f>
        <v/>
      </c>
      <c r="G478" s="95" t="str">
        <f>IF(B478=0,"",IF(LEFT(B478,LEN(B$10))=B$10,B$10,C$10))</f>
        <v/>
      </c>
      <c r="H478" s="95" t="str">
        <f t="shared" si="281"/>
        <v>0-0</v>
      </c>
      <c r="J478" s="97">
        <f>Singles!H$11</f>
        <v>1</v>
      </c>
      <c r="K478" s="95" t="str">
        <f t="shared" si="282"/>
        <v>SR</v>
      </c>
      <c r="L478" s="95" t="str">
        <f t="shared" si="283"/>
        <v>0</v>
      </c>
      <c r="M478" s="95" t="str">
        <f t="shared" si="284"/>
        <v>0</v>
      </c>
      <c r="N478" s="95" t="str">
        <f t="shared" si="285"/>
        <v>0</v>
      </c>
      <c r="O478" s="95" t="str">
        <f t="shared" si="286"/>
        <v>0</v>
      </c>
      <c r="P478" s="95" t="str">
        <f t="shared" si="287"/>
        <v>0</v>
      </c>
      <c r="Q478" s="95">
        <f>IF(AND(G478=T$10,LEN(G478)&gt;1),1,0)</f>
        <v>0</v>
      </c>
      <c r="R478" s="97">
        <f>Singles!D$11</f>
        <v>9</v>
      </c>
      <c r="S478" s="95">
        <f>IF(AND(H478=H$10,LEN(H478)&gt;1,Q478=1),1,0)</f>
        <v>0</v>
      </c>
      <c r="T478" s="95" t="str">
        <f t="shared" si="288"/>
        <v>No</v>
      </c>
      <c r="U478" s="95" t="str">
        <f>IF(T478="Winner",IF(V478&gt;V460,B469,B451),"")</f>
        <v/>
      </c>
      <c r="V478" s="97">
        <f>VLOOKUP(9,X470:Y485,2,0)</f>
        <v>1</v>
      </c>
      <c r="W478" s="95">
        <v>9</v>
      </c>
      <c r="X478" s="95">
        <f t="shared" si="289"/>
        <v>9</v>
      </c>
      <c r="Y478" s="95">
        <f t="shared" si="290"/>
        <v>1</v>
      </c>
      <c r="Z478" s="95">
        <f t="shared" si="291"/>
        <v>1</v>
      </c>
    </row>
    <row r="479" spans="1:26">
      <c r="A479" s="95">
        <v>10</v>
      </c>
      <c r="B479" s="95">
        <f>Singles!K122</f>
        <v>0</v>
      </c>
      <c r="C479" s="100" t="str">
        <f>IF(OR(LEFT(B479,LEN(B$11))=B$11,LEFT(B479,LEN(C$11))=C$11,LEN(B479)&lt;2),"","Wrong pick")</f>
        <v/>
      </c>
      <c r="G479" s="95" t="str">
        <f>IF(B479=0,"",IF(LEFT(B479,LEN(B$11))=B$11,B$11,C$11))</f>
        <v/>
      </c>
      <c r="H479" s="95" t="str">
        <f t="shared" si="281"/>
        <v>0-0</v>
      </c>
      <c r="J479" s="97">
        <f>Singles!H$12</f>
        <v>1</v>
      </c>
      <c r="K479" s="95" t="str">
        <f t="shared" si="282"/>
        <v>SR</v>
      </c>
      <c r="L479" s="95" t="str">
        <f t="shared" si="283"/>
        <v>0</v>
      </c>
      <c r="M479" s="95" t="str">
        <f t="shared" si="284"/>
        <v>0</v>
      </c>
      <c r="N479" s="95" t="str">
        <f t="shared" si="285"/>
        <v>0</v>
      </c>
      <c r="O479" s="95" t="str">
        <f t="shared" si="286"/>
        <v>0</v>
      </c>
      <c r="P479" s="95" t="str">
        <f t="shared" si="287"/>
        <v>0</v>
      </c>
      <c r="Q479" s="95">
        <f>IF(AND(G479=T$11,LEN(G479)&gt;1),1,0)</f>
        <v>0</v>
      </c>
      <c r="R479" s="97">
        <f>Singles!D$12</f>
        <v>10</v>
      </c>
      <c r="S479" s="95">
        <f>IF(AND(H479=H$11,LEN(H479)&gt;1,Q479=1),1,0)</f>
        <v>0</v>
      </c>
      <c r="T479" s="95" t="str">
        <f t="shared" si="288"/>
        <v>No</v>
      </c>
      <c r="U479" s="95" t="str">
        <f>IF(T479="Winner",IF(V479&gt;V461,B469,B451),"")</f>
        <v/>
      </c>
      <c r="V479" s="97">
        <f>VLOOKUP(10,X470:Y485,2,0)</f>
        <v>1</v>
      </c>
      <c r="W479" s="95">
        <v>10</v>
      </c>
      <c r="X479" s="95">
        <f t="shared" si="289"/>
        <v>10</v>
      </c>
      <c r="Y479" s="95">
        <f t="shared" si="290"/>
        <v>1</v>
      </c>
      <c r="Z479" s="95">
        <f t="shared" si="291"/>
        <v>1</v>
      </c>
    </row>
    <row r="480" spans="1:26">
      <c r="A480" s="95">
        <v>11</v>
      </c>
      <c r="B480" s="95">
        <f>Singles!K123</f>
        <v>0</v>
      </c>
      <c r="C480" s="100" t="str">
        <f>IF(OR(LEFT(B480,LEN(B$12))=B$12,LEFT(B480,LEN(C$12))=C$12,LEN(B480)&lt;2),"","Wrong pick")</f>
        <v/>
      </c>
      <c r="G480" s="95" t="str">
        <f>IF(B480=0,"",IF(LEFT(B480,LEN(B$12))=B$12,B$12,C$12))</f>
        <v/>
      </c>
      <c r="H480" s="95" t="str">
        <f t="shared" si="281"/>
        <v>0-0</v>
      </c>
      <c r="J480" s="97">
        <f>Singles!H$13</f>
        <v>1</v>
      </c>
      <c r="K480" s="95" t="str">
        <f t="shared" si="282"/>
        <v>SR</v>
      </c>
      <c r="L480" s="95" t="str">
        <f t="shared" si="283"/>
        <v>0</v>
      </c>
      <c r="M480" s="95" t="str">
        <f t="shared" si="284"/>
        <v>0</v>
      </c>
      <c r="N480" s="95" t="str">
        <f t="shared" si="285"/>
        <v>0</v>
      </c>
      <c r="O480" s="95" t="str">
        <f t="shared" si="286"/>
        <v>0</v>
      </c>
      <c r="P480" s="95" t="str">
        <f t="shared" si="287"/>
        <v>0</v>
      </c>
      <c r="Q480" s="95">
        <f>IF(AND(G480=T$12,LEN(G480)&gt;1),1,0)</f>
        <v>0</v>
      </c>
      <c r="R480" s="97">
        <f>Singles!D$13</f>
        <v>11</v>
      </c>
      <c r="S480" s="95">
        <f>IF(AND(H480=H$12,LEN(H480)&gt;1,Q480=1),1,0)</f>
        <v>0</v>
      </c>
      <c r="T480" s="95" t="str">
        <f t="shared" si="288"/>
        <v>No</v>
      </c>
      <c r="U480" s="95" t="str">
        <f>IF(T480="Winner",IF(V480&gt;V462,B469,B451),"")</f>
        <v/>
      </c>
      <c r="V480" s="97">
        <f>VLOOKUP(11,X470:Y485,2,0)</f>
        <v>1</v>
      </c>
      <c r="W480" s="95">
        <v>11</v>
      </c>
      <c r="X480" s="95">
        <f t="shared" si="289"/>
        <v>11</v>
      </c>
      <c r="Y480" s="95">
        <f t="shared" si="290"/>
        <v>1</v>
      </c>
      <c r="Z480" s="95">
        <f t="shared" si="291"/>
        <v>1</v>
      </c>
    </row>
    <row r="481" spans="1:26">
      <c r="A481" s="95">
        <v>12</v>
      </c>
      <c r="B481" s="95">
        <f>Singles!K124</f>
        <v>0</v>
      </c>
      <c r="C481" s="100" t="str">
        <f>IF(OR(LEFT(B481,LEN(B$13))=B$13,LEFT(B481,LEN(C$13))=C$13,LEN(B481)&lt;2),"","Wrong pick")</f>
        <v/>
      </c>
      <c r="G481" s="95" t="str">
        <f>IF(B481=0,"",IF(LEFT(B481,LEN(B$13))=B$13,B$13,C$13))</f>
        <v/>
      </c>
      <c r="H481" s="95" t="str">
        <f t="shared" si="281"/>
        <v>0-0</v>
      </c>
      <c r="J481" s="97">
        <f>Singles!H$14</f>
        <v>1</v>
      </c>
      <c r="K481" s="95" t="str">
        <f t="shared" si="282"/>
        <v>SR</v>
      </c>
      <c r="L481" s="95" t="str">
        <f t="shared" si="283"/>
        <v>0</v>
      </c>
      <c r="M481" s="95" t="str">
        <f t="shared" si="284"/>
        <v>0</v>
      </c>
      <c r="N481" s="95" t="str">
        <f t="shared" si="285"/>
        <v>0</v>
      </c>
      <c r="O481" s="95" t="str">
        <f t="shared" si="286"/>
        <v>0</v>
      </c>
      <c r="P481" s="95" t="str">
        <f t="shared" si="287"/>
        <v>0</v>
      </c>
      <c r="Q481" s="95">
        <f>IF(AND(G481=T$13,LEN(G481)&gt;1),1,0)</f>
        <v>0</v>
      </c>
      <c r="R481" s="97">
        <f>Singles!D$14</f>
        <v>12</v>
      </c>
      <c r="S481" s="95">
        <f>IF(AND(H481=H$13,LEN(H481)&gt;1,Q481=1),1,0)</f>
        <v>0</v>
      </c>
      <c r="T481" s="95" t="str">
        <f t="shared" si="288"/>
        <v>No</v>
      </c>
      <c r="U481" s="95" t="str">
        <f>IF(T481="Winner",IF(V481&gt;V463,B469,B451),"")</f>
        <v/>
      </c>
      <c r="V481" s="97">
        <f>VLOOKUP(12,X470:Y485,2,0)</f>
        <v>1</v>
      </c>
      <c r="W481" s="95">
        <v>12</v>
      </c>
      <c r="X481" s="95">
        <f t="shared" si="289"/>
        <v>12</v>
      </c>
      <c r="Y481" s="95">
        <f t="shared" si="290"/>
        <v>1</v>
      </c>
      <c r="Z481" s="95">
        <f t="shared" si="291"/>
        <v>1</v>
      </c>
    </row>
    <row r="482" spans="1:26">
      <c r="A482" s="95">
        <v>13</v>
      </c>
      <c r="B482" s="95">
        <f>Singles!K125</f>
        <v>0</v>
      </c>
      <c r="C482" s="100" t="str">
        <f>IF(OR(LEFT(B482,LEN(B$14))=B$14,LEFT(B482,LEN(C$14))=C$14,LEN(B482)&lt;2),"","Wrong pick")</f>
        <v/>
      </c>
      <c r="G482" s="95" t="str">
        <f>IF(B482=0,"",IF(LEFT(B482,LEN(B$14))=B$14,B$14,C$14))</f>
        <v/>
      </c>
      <c r="H482" s="95" t="str">
        <f t="shared" si="281"/>
        <v>0-0</v>
      </c>
      <c r="J482" s="97">
        <f>Singles!H$15</f>
        <v>1</v>
      </c>
      <c r="K482" s="95" t="str">
        <f t="shared" si="282"/>
        <v>SR</v>
      </c>
      <c r="L482" s="95" t="str">
        <f t="shared" si="283"/>
        <v>0</v>
      </c>
      <c r="M482" s="95" t="str">
        <f t="shared" si="284"/>
        <v>0</v>
      </c>
      <c r="N482" s="95" t="str">
        <f t="shared" si="285"/>
        <v>0</v>
      </c>
      <c r="O482" s="95" t="str">
        <f t="shared" si="286"/>
        <v>0</v>
      </c>
      <c r="P482" s="95" t="str">
        <f t="shared" si="287"/>
        <v>0</v>
      </c>
      <c r="Q482" s="95">
        <f>IF(AND(G482=T$14,LEN(G482)&gt;1),1,0)</f>
        <v>0</v>
      </c>
      <c r="R482" s="97">
        <f>Singles!D$15</f>
        <v>13</v>
      </c>
      <c r="S482" s="95">
        <f>IF(AND(H482=H$14,LEN(H482)&gt;1,Q482=1),1,0)</f>
        <v>0</v>
      </c>
      <c r="T482" s="95" t="str">
        <f t="shared" si="288"/>
        <v>No</v>
      </c>
      <c r="U482" s="95" t="str">
        <f>IF(T482="Winner",IF(V482&gt;V464,B469,B451),"")</f>
        <v/>
      </c>
      <c r="V482" s="97">
        <f>VLOOKUP(13,X470:Y485,2,0)</f>
        <v>1</v>
      </c>
      <c r="W482" s="95">
        <v>13</v>
      </c>
      <c r="X482" s="95">
        <f t="shared" si="289"/>
        <v>13</v>
      </c>
      <c r="Y482" s="95">
        <f t="shared" si="290"/>
        <v>1</v>
      </c>
      <c r="Z482" s="95">
        <f t="shared" si="291"/>
        <v>1</v>
      </c>
    </row>
    <row r="483" spans="1:26">
      <c r="A483" s="95">
        <v>14</v>
      </c>
      <c r="B483" s="95">
        <f>Singles!K126</f>
        <v>0</v>
      </c>
      <c r="C483" s="100" t="str">
        <f>IF(OR(LEFT(B483,LEN(B$15))=B$15,LEFT(B483,LEN(C$15))=C$15,LEN(B483)&lt;2),"","Wrong pick")</f>
        <v/>
      </c>
      <c r="G483" s="95" t="str">
        <f>IF(B483=0,"",IF(LEFT(B483,LEN(B$15))=B$15,B$15,C$15))</f>
        <v/>
      </c>
      <c r="H483" s="95" t="str">
        <f t="shared" si="281"/>
        <v>0-0</v>
      </c>
      <c r="J483" s="97">
        <f>Singles!H$16</f>
        <v>1</v>
      </c>
      <c r="K483" s="95" t="str">
        <f t="shared" si="282"/>
        <v>SR</v>
      </c>
      <c r="L483" s="95" t="str">
        <f t="shared" si="283"/>
        <v>0</v>
      </c>
      <c r="M483" s="95" t="str">
        <f t="shared" si="284"/>
        <v>0</v>
      </c>
      <c r="N483" s="95" t="str">
        <f t="shared" si="285"/>
        <v>0</v>
      </c>
      <c r="O483" s="95" t="str">
        <f t="shared" si="286"/>
        <v>0</v>
      </c>
      <c r="P483" s="95" t="str">
        <f t="shared" si="287"/>
        <v>0</v>
      </c>
      <c r="Q483" s="95">
        <f>IF(AND(G483=T$15,LEN(G483)&gt;1),1,0)</f>
        <v>0</v>
      </c>
      <c r="R483" s="97">
        <f>Singles!D$16</f>
        <v>14</v>
      </c>
      <c r="S483" s="95">
        <f>IF(AND(H483=H$15,LEN(H483)&gt;1,Q483=1),1,0)</f>
        <v>0</v>
      </c>
      <c r="T483" s="95" t="str">
        <f t="shared" si="288"/>
        <v>No</v>
      </c>
      <c r="U483" s="95" t="str">
        <f>IF(T483="Winner",IF(V483&gt;V465,B469,B451),"")</f>
        <v/>
      </c>
      <c r="V483" s="97">
        <f>VLOOKUP(14,X470:Y485,2,0)</f>
        <v>1</v>
      </c>
      <c r="W483" s="95">
        <v>14</v>
      </c>
      <c r="X483" s="95">
        <f t="shared" si="289"/>
        <v>14</v>
      </c>
      <c r="Y483" s="95">
        <f t="shared" si="290"/>
        <v>1</v>
      </c>
      <c r="Z483" s="95">
        <f t="shared" si="291"/>
        <v>1</v>
      </c>
    </row>
    <row r="484" spans="1:26">
      <c r="A484" s="95">
        <v>15</v>
      </c>
      <c r="B484" s="95">
        <f>Singles!K127</f>
        <v>0</v>
      </c>
      <c r="C484" s="100" t="str">
        <f>IF(OR(LEFT(B484,LEN(B$16))=B$16,LEFT(B484,LEN(C$16))=C$16,LEN(B484)&lt;2),"","Wrong pick")</f>
        <v/>
      </c>
      <c r="G484" s="95" t="str">
        <f>IF(B484=0,"",IF(LEFT(B484,LEN(B$16))=B$16,B$16,C$16))</f>
        <v/>
      </c>
      <c r="H484" s="95" t="str">
        <f t="shared" si="281"/>
        <v>0-0</v>
      </c>
      <c r="J484" s="97">
        <f>Singles!H$17</f>
        <v>1</v>
      </c>
      <c r="K484" s="95" t="str">
        <f t="shared" si="282"/>
        <v>SR</v>
      </c>
      <c r="L484" s="95" t="str">
        <f t="shared" si="283"/>
        <v>0</v>
      </c>
      <c r="M484" s="95" t="str">
        <f t="shared" si="284"/>
        <v>0</v>
      </c>
      <c r="N484" s="95" t="str">
        <f t="shared" si="285"/>
        <v>0</v>
      </c>
      <c r="O484" s="95" t="str">
        <f t="shared" si="286"/>
        <v>0</v>
      </c>
      <c r="P484" s="95" t="str">
        <f t="shared" si="287"/>
        <v>0</v>
      </c>
      <c r="Q484" s="95">
        <f>IF(AND(G484=T$16,LEN(G484)&gt;1),1,0)</f>
        <v>0</v>
      </c>
      <c r="R484" s="97">
        <f>Singles!D$17</f>
        <v>15</v>
      </c>
      <c r="S484" s="95">
        <f>IF(AND(H484=H$16,LEN(H484)&gt;1,Q484=1),1,0)</f>
        <v>0</v>
      </c>
      <c r="T484" s="95" t="str">
        <f t="shared" si="288"/>
        <v>No</v>
      </c>
      <c r="U484" s="95" t="str">
        <f>IF(T484="Winner",IF(V484&gt;V466,B469,B451),"")</f>
        <v/>
      </c>
      <c r="V484" s="97">
        <f>VLOOKUP(15,X470:Y485,2,0)</f>
        <v>1</v>
      </c>
      <c r="W484" s="95">
        <v>15</v>
      </c>
      <c r="X484" s="95">
        <f t="shared" si="289"/>
        <v>15</v>
      </c>
      <c r="Y484" s="95">
        <f t="shared" si="290"/>
        <v>1</v>
      </c>
      <c r="Z484" s="95">
        <f t="shared" si="291"/>
        <v>1</v>
      </c>
    </row>
    <row r="485" spans="1:26">
      <c r="A485" s="95">
        <v>16</v>
      </c>
      <c r="B485" s="95">
        <f>Singles!K128</f>
        <v>0</v>
      </c>
      <c r="C485" s="100" t="str">
        <f>IF(OR(LEFT(B485,LEN(B$17))=B$17,LEFT(B485,LEN(C$17))=C$17,LEN(B485)&lt;2),"","Wrong pick")</f>
        <v/>
      </c>
      <c r="G485" s="95" t="str">
        <f>IF(B485=0,"",IF(LEFT(B485,LEN(B$17))=B$17,B$17,C$17))</f>
        <v/>
      </c>
      <c r="H485" s="95" t="str">
        <f t="shared" si="281"/>
        <v>0-0</v>
      </c>
      <c r="J485" s="97">
        <f>Singles!H$18</f>
        <v>1</v>
      </c>
      <c r="K485" s="95" t="str">
        <f t="shared" si="282"/>
        <v>SR</v>
      </c>
      <c r="L485" s="95" t="str">
        <f t="shared" si="283"/>
        <v>0</v>
      </c>
      <c r="M485" s="95" t="str">
        <f t="shared" si="284"/>
        <v>0</v>
      </c>
      <c r="N485" s="95" t="str">
        <f t="shared" si="285"/>
        <v>0</v>
      </c>
      <c r="O485" s="95" t="str">
        <f t="shared" si="286"/>
        <v>0</v>
      </c>
      <c r="P485" s="95" t="str">
        <f t="shared" si="287"/>
        <v>0</v>
      </c>
      <c r="Q485" s="95">
        <f>IF(AND(G485=T$17,LEN(G485)&gt;1),1,0)</f>
        <v>0</v>
      </c>
      <c r="R485" s="97">
        <f>Singles!D$18</f>
        <v>16</v>
      </c>
      <c r="S485" s="95">
        <f>IF(AND(H485=H$17,LEN(H485)&gt;1,Q485=1),1,0)</f>
        <v>0</v>
      </c>
      <c r="T485" s="95" t="str">
        <f t="shared" si="288"/>
        <v>No</v>
      </c>
      <c r="U485" s="95" t="str">
        <f>IF(T485="Winner",IF(V485&gt;V467,B469,B451),"")</f>
        <v/>
      </c>
      <c r="V485" s="97">
        <f>VLOOKUP(16,X470:Y485,2,0)</f>
        <v>1</v>
      </c>
      <c r="W485" s="95">
        <v>16</v>
      </c>
      <c r="X485" s="95">
        <f t="shared" si="289"/>
        <v>16</v>
      </c>
      <c r="Y485" s="95">
        <f t="shared" si="290"/>
        <v>1</v>
      </c>
      <c r="Z485" s="95">
        <f t="shared" si="291"/>
        <v>1</v>
      </c>
    </row>
    <row r="486" spans="1:26">
      <c r="T486" s="95" t="s">
        <v>89</v>
      </c>
      <c r="U486" s="95" t="s">
        <v>125</v>
      </c>
      <c r="W486" s="95">
        <v>17</v>
      </c>
    </row>
    <row r="487" spans="1:26">
      <c r="A487" s="95" t="e">
        <f>IF(LEN(VLOOKUP(B487,Singles!$A$2:$B$33,2,0))&gt;0,VLOOKUP(B487,Singles!$A$2:$B$33,2,0),"")</f>
        <v>#N/A</v>
      </c>
      <c r="B487" s="96">
        <f>Singles!L112</f>
        <v>0</v>
      </c>
      <c r="C487" s="96">
        <v>27</v>
      </c>
      <c r="D487" s="95" t="e">
        <f>VLOOKUP(B487,Singles!$A$2:$C$33,3,0)</f>
        <v>#N/A</v>
      </c>
      <c r="J487" s="95" t="s">
        <v>88</v>
      </c>
      <c r="Q487" s="95" t="s">
        <v>121</v>
      </c>
      <c r="S487" s="95" t="s">
        <v>122</v>
      </c>
      <c r="T487" s="95" t="e">
        <f>IF(LEN(A487)&gt;0,"("&amp;A487&amp;") "&amp;B487,B487)&amp;IF(LEN(D487)&gt;1," ("&amp;D487&amp;")","")</f>
        <v>#N/A</v>
      </c>
      <c r="V487" s="95" t="s">
        <v>123</v>
      </c>
      <c r="Y487" s="95" t="s">
        <v>123</v>
      </c>
    </row>
    <row r="488" spans="1:26">
      <c r="A488" s="95">
        <v>1</v>
      </c>
      <c r="B488" s="95">
        <f>Singles!L113</f>
        <v>0</v>
      </c>
      <c r="C488" s="99" t="str">
        <f>IF(OR(LEFT(B488,LEN(B$2))=B$2,LEFT(B488,LEN(C$2))=C$2,LEN(B488)&lt;2),"","Wrong pick")</f>
        <v/>
      </c>
      <c r="D488" s="95">
        <f t="shared" ref="D488:D503" ca="1" si="292">IF(OR(G488=G506,INDIRECT(ADDRESS(A488+1,6,1))&gt;0),0,1)</f>
        <v>0</v>
      </c>
      <c r="E488" s="95" t="str">
        <f ca="1">IF(AND(D488=1,J488=$I$2),G488&amp;", ","")&amp;IF(AND(D489=1,J489=$I$2),G489&amp;", ","")&amp;IF(AND(D490=1,J490=$I$2),G490&amp;", ","")&amp;IF(AND(D491=1,J491=$I$2),G491&amp;", ","")&amp;IF(AND(D492=1,J492=$I$2),G492&amp;", ","")&amp;IF(AND(D493=1,J493=$I$2),G493&amp;", ","")&amp;IF(AND(D494=1,J494=$I$2),G494&amp;", ","")&amp;IF(AND(D495=1,J495=$I$2),G495&amp;", ","")&amp;IF(AND(D496=1,J496=$I$2),G496&amp;", ","")&amp;IF(AND(D497=1,J497=$I$2),G497&amp;", ","")&amp;IF(AND(D498=1,J498=$I$2),G498&amp;", ","")&amp;IF(AND(D499=1,J499=$I$2),G499&amp;", ","")&amp;IF(AND(D500=1,J500=$I$2),G500&amp;", ","")&amp;IF(AND(D501=1,J501=$I$2),G501&amp;", ","")&amp;IF(AND(D502=1,J502=$I$2),G502&amp;", ","")&amp;IF(AND(D503=1,J503=$I$2),G503&amp;", ","")</f>
        <v/>
      </c>
      <c r="F488" s="95" t="str">
        <f>IF(AND(SUM(Z488:Z503)=$I$4,NOT(B487="Bye")),"Missing picks from "&amp;B487&amp;" ","")</f>
        <v xml:space="preserve">Missing picks from 0 </v>
      </c>
      <c r="G488" s="95" t="str">
        <f>IF(B488=0,"",IF(LEFT(B488,LEN(B$2))=B$2,B$2,C$2))</f>
        <v/>
      </c>
      <c r="H488" s="95" t="str">
        <f t="shared" ref="H488:H503" si="293">IF(L488="","",IF(K488="PTS",IF(LEN(O488)&lt;8,"2-0","2-1"),LEFT(O488,1)&amp;"-"&amp;RIGHT(O488,1)))</f>
        <v>0-0</v>
      </c>
      <c r="I488" s="95" t="str">
        <f ca="1">IF(AND(J488=Singles!$H$21,INDIRECT(ADDRESS(A488+1,6,1))=0,NOT(INDIRECT(ADDRESS(A488+1,5,1))="")),IF(D488=0,IF(H488=H506,"",G488&amp;" "&amp;H488&amp;" v "&amp;H506&amp;", "),G488&amp;" "&amp;H488&amp;" vs. "&amp;G506&amp;" "&amp;H506&amp;", "),"")</f>
        <v/>
      </c>
      <c r="J488" s="97">
        <f>Singles!H$3</f>
        <v>1</v>
      </c>
      <c r="K488" s="95" t="str">
        <f t="shared" ref="K488:K503" si="294">IF(LEN(L488)&gt;0,IF(LEN(O488)&lt;4,"SR","PTS"),"")</f>
        <v>SR</v>
      </c>
      <c r="L488" s="95" t="str">
        <f t="shared" ref="L488:L503" si="295">TRIM(RIGHT(B488,LEN(B488)-LEN(G488)))</f>
        <v>0</v>
      </c>
      <c r="M488" s="95" t="str">
        <f t="shared" ref="M488:M503" si="296">SUBSTITUTE(L488,"-","")</f>
        <v>0</v>
      </c>
      <c r="N488" s="95" t="str">
        <f t="shared" ref="N488:N503" si="297">SUBSTITUTE(M488,","," ")</f>
        <v>0</v>
      </c>
      <c r="O488" s="95" t="str">
        <f t="shared" ref="O488:O503" si="298">IF(AND(LEN(TRIM(SUBSTITUTE(P488,"/","")))&gt;6,OR(LEFT(TRIM(SUBSTITUTE(P488,"/","")),2)="20",LEFT(TRIM(SUBSTITUTE(P488,"/","")),2)="21")),RIGHT(TRIM(SUBSTITUTE(P488,"/","")),LEN(TRIM(SUBSTITUTE(P488,"/","")))-3),TRIM(SUBSTITUTE(P488,"/","")))</f>
        <v>0</v>
      </c>
      <c r="P488" s="95" t="str">
        <f t="shared" ref="P488:P503" si="299">SUBSTITUTE(N488,":","")</f>
        <v>0</v>
      </c>
      <c r="Q488" s="95">
        <f>IF(AND(G488=T$2,LEN(G488)&gt;1),1,0)</f>
        <v>0</v>
      </c>
      <c r="R488" s="97">
        <f>Singles!D$3</f>
        <v>1</v>
      </c>
      <c r="S488" s="95">
        <f>IF(AND(H488=H$2,LEN(H488)&gt;1,Q488=1),1,0)</f>
        <v>0</v>
      </c>
      <c r="T488" s="95" t="str">
        <f ca="1">" SR Differences: "&amp;IF(LEN(I488&amp;I489&amp;I490&amp;I491&amp;I492&amp;I493&amp;I494&amp;I495&amp;I496&amp;I497&amp;I498&amp;I499&amp;I500&amp;I501&amp;I502&amp;I503)&lt;3,"None..",I488&amp;I489&amp;I490&amp;I491&amp;I492&amp;I493&amp;I494&amp;I495&amp;I496&amp;I497&amp;I498&amp;I499&amp;I500&amp;I501&amp;I502&amp;I503)</f>
        <v xml:space="preserve"> SR Differences: None..</v>
      </c>
      <c r="V488" s="97">
        <f>VLOOKUP(1,X488:Y503,2,0)</f>
        <v>1</v>
      </c>
      <c r="X488" s="95">
        <f t="shared" ref="X488:X503" si="300">R488</f>
        <v>1</v>
      </c>
      <c r="Y488" s="95">
        <f t="shared" ref="Y488:Y503" si="301">IF(Q488=1,IF(S488=1,4,3),IF(H488="2-1",2,1))</f>
        <v>1</v>
      </c>
      <c r="Z488" s="95">
        <f t="shared" ref="Z488:Z503" si="302">IF(AND($I$2=J488,B488=0),1,0)</f>
        <v>1</v>
      </c>
    </row>
    <row r="489" spans="1:26">
      <c r="A489" s="95">
        <v>2</v>
      </c>
      <c r="B489" s="95">
        <f>Singles!L114</f>
        <v>0</v>
      </c>
      <c r="C489" s="100" t="str">
        <f>IF(OR(LEFT(B489,LEN(B$3))=B$3,LEFT(B489,LEN(C$3))=C$3,LEN(B489)&lt;2),"","Wrong pick")</f>
        <v/>
      </c>
      <c r="D489" s="95">
        <f t="shared" ca="1" si="292"/>
        <v>0</v>
      </c>
      <c r="G489" s="95" t="str">
        <f>IF(B489=0,"",IF(LEFT(B489,LEN(B$3))=B$3,B$3,C$3))</f>
        <v/>
      </c>
      <c r="H489" s="95" t="str">
        <f t="shared" si="293"/>
        <v>0-0</v>
      </c>
      <c r="I489" s="95" t="str">
        <f ca="1">IF(AND(J489=Singles!$H$21,INDIRECT(ADDRESS(A489+1,6,1))=0,NOT(INDIRECT(ADDRESS(A489+1,5,1))="")),IF(D489=0,IF(H489=H507,"",G489&amp;" "&amp;H489&amp;" v "&amp;H507&amp;", "),G489&amp;" "&amp;H489&amp;" vs. "&amp;G507&amp;" "&amp;H507&amp;", "),"")</f>
        <v/>
      </c>
      <c r="J489" s="97">
        <f>Singles!H$4</f>
        <v>1</v>
      </c>
      <c r="K489" s="95" t="str">
        <f t="shared" si="294"/>
        <v>SR</v>
      </c>
      <c r="L489" s="95" t="str">
        <f t="shared" si="295"/>
        <v>0</v>
      </c>
      <c r="M489" s="95" t="str">
        <f t="shared" si="296"/>
        <v>0</v>
      </c>
      <c r="N489" s="95" t="str">
        <f t="shared" si="297"/>
        <v>0</v>
      </c>
      <c r="O489" s="95" t="str">
        <f t="shared" si="298"/>
        <v>0</v>
      </c>
      <c r="P489" s="95" t="str">
        <f t="shared" si="299"/>
        <v>0</v>
      </c>
      <c r="Q489" s="95">
        <f>IF(AND(G489=T$3,LEN(G489)&gt;1),1,0)</f>
        <v>0</v>
      </c>
      <c r="R489" s="97">
        <f>Singles!D$4</f>
        <v>2</v>
      </c>
      <c r="S489" s="95">
        <f>IF(AND(H489=H$3,LEN(H489)&gt;1,Q489=1),1,0)</f>
        <v>0</v>
      </c>
      <c r="T489" s="95" t="str">
        <f ca="1">IF(T490&gt;0,LEFT(E488,LEN(E488)-2)&amp;" vs. "&amp;LEFT(E506,LEN(E506)-2),IF(SUMIF(Singles!$H$3:$H$18,"="&amp;Singles!$H$21,Singles!$I$3:$I$18)=0,"Same winners;",""))</f>
        <v>Same winners;</v>
      </c>
      <c r="V489" s="97">
        <f>VLOOKUP(2,X488:Y503,2,0)</f>
        <v>1</v>
      </c>
      <c r="X489" s="95">
        <f t="shared" si="300"/>
        <v>2</v>
      </c>
      <c r="Y489" s="95">
        <f t="shared" si="301"/>
        <v>1</v>
      </c>
      <c r="Z489" s="95">
        <f t="shared" si="302"/>
        <v>1</v>
      </c>
    </row>
    <row r="490" spans="1:26">
      <c r="A490" s="95">
        <v>3</v>
      </c>
      <c r="B490" s="95">
        <f>Singles!L115</f>
        <v>0</v>
      </c>
      <c r="C490" s="100" t="str">
        <f>IF(OR(LEFT(B490,LEN(B$4))=B$4,LEFT(B490,LEN(C$4))=C$4,LEN(B490)&lt;2),"","Wrong pick")</f>
        <v/>
      </c>
      <c r="D490" s="95">
        <f t="shared" ca="1" si="292"/>
        <v>0</v>
      </c>
      <c r="G490" s="95" t="str">
        <f>IF(B490=0,"",IF(LEFT(B490,LEN(B$4))=B$4,B$4,C$4))</f>
        <v/>
      </c>
      <c r="H490" s="95" t="str">
        <f t="shared" si="293"/>
        <v>0-0</v>
      </c>
      <c r="I490" s="95" t="str">
        <f ca="1">IF(AND(J490=Singles!$H$21,INDIRECT(ADDRESS(A490+1,6,1))=0,NOT(INDIRECT(ADDRESS(A490+1,5,1))="")),IF(D490=0,IF(H490=H508,"",G490&amp;" "&amp;H490&amp;" v "&amp;H508&amp;", "),G490&amp;" "&amp;H490&amp;" vs. "&amp;G508&amp;" "&amp;H508&amp;", "),"")</f>
        <v/>
      </c>
      <c r="J490" s="97">
        <f>Singles!H$5</f>
        <v>1</v>
      </c>
      <c r="K490" s="95" t="str">
        <f t="shared" si="294"/>
        <v>SR</v>
      </c>
      <c r="L490" s="95" t="str">
        <f t="shared" si="295"/>
        <v>0</v>
      </c>
      <c r="M490" s="95" t="str">
        <f t="shared" si="296"/>
        <v>0</v>
      </c>
      <c r="N490" s="95" t="str">
        <f t="shared" si="297"/>
        <v>0</v>
      </c>
      <c r="O490" s="95" t="str">
        <f t="shared" si="298"/>
        <v>0</v>
      </c>
      <c r="P490" s="95" t="str">
        <f t="shared" si="299"/>
        <v>0</v>
      </c>
      <c r="Q490" s="95">
        <f>IF(AND(G490=T$4,LEN(G490)&gt;1),1,0)</f>
        <v>0</v>
      </c>
      <c r="R490" s="97">
        <f>Singles!D$5</f>
        <v>3</v>
      </c>
      <c r="S490" s="95">
        <f>IF(AND(H490=H$4,LEN(H490)&gt;1,Q490=1),1,0)</f>
        <v>0</v>
      </c>
      <c r="T490" s="101">
        <f ca="1">SUMIF(J488:J503,$I$2,D488:D503)</f>
        <v>0</v>
      </c>
      <c r="V490" s="97">
        <f>VLOOKUP(3,X488:Y503,2,0)</f>
        <v>1</v>
      </c>
      <c r="X490" s="95">
        <f t="shared" si="300"/>
        <v>3</v>
      </c>
      <c r="Y490" s="95">
        <f t="shared" si="301"/>
        <v>1</v>
      </c>
      <c r="Z490" s="95">
        <f t="shared" si="302"/>
        <v>1</v>
      </c>
    </row>
    <row r="491" spans="1:26">
      <c r="A491" s="95">
        <v>4</v>
      </c>
      <c r="B491" s="95">
        <f>Singles!L116</f>
        <v>0</v>
      </c>
      <c r="C491" s="100" t="str">
        <f>IF(OR(LEFT(B491,LEN(B$5))=B$5,LEFT(B491,LEN(C$5))=C$5,LEN(B491)&lt;2),"","Wrong pick")</f>
        <v/>
      </c>
      <c r="D491" s="95">
        <f t="shared" ca="1" si="292"/>
        <v>0</v>
      </c>
      <c r="G491" s="95" t="str">
        <f>IF(B491=0,"",IF(LEFT(B491,LEN(B$5))=B$5,B$5,C$5))</f>
        <v/>
      </c>
      <c r="H491" s="95" t="str">
        <f t="shared" si="293"/>
        <v>0-0</v>
      </c>
      <c r="I491" s="95" t="str">
        <f ca="1">IF(AND(J491=Singles!$H$21,INDIRECT(ADDRESS(A491+1,6,1))=0,NOT(INDIRECT(ADDRESS(A491+1,5,1))="")),IF(D491=0,IF(H491=H509,"",G491&amp;" "&amp;H491&amp;" v "&amp;H509&amp;", "),G491&amp;" "&amp;H491&amp;" vs. "&amp;G509&amp;" "&amp;H509&amp;", "),"")</f>
        <v/>
      </c>
      <c r="J491" s="97">
        <f>Singles!H$6</f>
        <v>1</v>
      </c>
      <c r="K491" s="95" t="str">
        <f t="shared" si="294"/>
        <v>SR</v>
      </c>
      <c r="L491" s="95" t="str">
        <f t="shared" si="295"/>
        <v>0</v>
      </c>
      <c r="M491" s="95" t="str">
        <f t="shared" si="296"/>
        <v>0</v>
      </c>
      <c r="N491" s="95" t="str">
        <f t="shared" si="297"/>
        <v>0</v>
      </c>
      <c r="O491" s="95" t="str">
        <f t="shared" si="298"/>
        <v>0</v>
      </c>
      <c r="P491" s="95" t="str">
        <f t="shared" si="299"/>
        <v>0</v>
      </c>
      <c r="Q491" s="95">
        <f>IF(AND(G491=T$5,LEN(G491)&gt;1),1,0)</f>
        <v>0</v>
      </c>
      <c r="R491" s="97">
        <f>Singles!D$6</f>
        <v>4</v>
      </c>
      <c r="S491" s="95">
        <f>IF(AND(H491=H$5,LEN(H491)&gt;1,Q491=1),1,0)</f>
        <v>0</v>
      </c>
      <c r="T491" s="102" t="e">
        <f>IF(T493&lt;10,"0","")&amp;T493&amp;":"&amp;IF(T494&lt;10,"0","")&amp;T494&amp;" | [b]"&amp;IF(LEN(U491)&gt;0,U491,T487&amp;"[/b] vs. [b]"&amp;T505&amp;"[/b]"&amp;IF(Singles!$H$21&gt;1," (SR "&amp;U493&amp;":"&amp;U494&amp;")","")&amp;" - "&amp;IF(COUNTIF(C488:C521,"=Wrong Pick")&gt;0,"Incorrect pick, probably a spelling mistake",IF(AND(F488="",F506=""),T489&amp;IF(AND(OR(AND(Singles!$H$20&gt;1,Singles!$H$21&lt;Singles!$H$20),MOD(T490+T493+T494,2)=0),NOT(Singles!$H$23="No")),LEFT(T488,LEN(T488)-2),""),F488&amp;F506)))</f>
        <v>#N/A</v>
      </c>
      <c r="U491" s="95" t="str">
        <f>IF(B487="Bye","Bye[/b] vs. [b][color=blue]"&amp;T505&amp;"[/color][/b]",IF(B505="Bye","[color=blue]"&amp;T487&amp;"[/color][/b] vs. [b]Bye[/b]",""))</f>
        <v/>
      </c>
      <c r="V491" s="97">
        <f>VLOOKUP(4,X488:Y503,2,0)</f>
        <v>1</v>
      </c>
      <c r="X491" s="95">
        <f t="shared" si="300"/>
        <v>4</v>
      </c>
      <c r="Y491" s="95">
        <f t="shared" si="301"/>
        <v>1</v>
      </c>
      <c r="Z491" s="95">
        <f t="shared" si="302"/>
        <v>1</v>
      </c>
    </row>
    <row r="492" spans="1:26">
      <c r="A492" s="95">
        <v>5</v>
      </c>
      <c r="B492" s="95">
        <f>Singles!L117</f>
        <v>0</v>
      </c>
      <c r="C492" s="100" t="str">
        <f>IF(OR(LEFT(B492,LEN(B$6))=B$6,LEFT(B492,LEN(C$6))=C$6,LEN(B492)&lt;2),"","Wrong pick")</f>
        <v/>
      </c>
      <c r="D492" s="95">
        <f t="shared" ca="1" si="292"/>
        <v>0</v>
      </c>
      <c r="G492" s="95" t="str">
        <f>IF(B492=0,"",IF(LEFT(B492,LEN(B$6))=B$6,B$6,C$6))</f>
        <v/>
      </c>
      <c r="H492" s="95" t="str">
        <f t="shared" si="293"/>
        <v>0-0</v>
      </c>
      <c r="I492" s="95" t="str">
        <f ca="1">IF(AND(J492=Singles!$H$21,INDIRECT(ADDRESS(A492+1,6,1))=0,NOT(INDIRECT(ADDRESS(A492+1,5,1))="")),IF(D492=0,IF(H492=H510,"",G492&amp;" "&amp;H492&amp;" v "&amp;H510&amp;", "),G492&amp;" "&amp;H492&amp;" vs. "&amp;G510&amp;" "&amp;H510&amp;", "),"")</f>
        <v/>
      </c>
      <c r="J492" s="97">
        <f>Singles!H$7</f>
        <v>1</v>
      </c>
      <c r="K492" s="95" t="str">
        <f t="shared" si="294"/>
        <v>SR</v>
      </c>
      <c r="L492" s="95" t="str">
        <f t="shared" si="295"/>
        <v>0</v>
      </c>
      <c r="M492" s="95" t="str">
        <f t="shared" si="296"/>
        <v>0</v>
      </c>
      <c r="N492" s="95" t="str">
        <f t="shared" si="297"/>
        <v>0</v>
      </c>
      <c r="O492" s="95" t="str">
        <f t="shared" si="298"/>
        <v>0</v>
      </c>
      <c r="P492" s="95" t="str">
        <f t="shared" si="299"/>
        <v>0</v>
      </c>
      <c r="Q492" s="95">
        <f>IF(AND(G492=T$6,LEN(G492)&gt;1),1,0)</f>
        <v>0</v>
      </c>
      <c r="R492" s="97">
        <f>Singles!D$7</f>
        <v>5</v>
      </c>
      <c r="S492" s="95">
        <f>IF(AND(H492=H$6,LEN(H492)&gt;1,Q492=1),1,0)</f>
        <v>0</v>
      </c>
      <c r="T492" s="103" t="str">
        <f>IF(Singles!$H$22=$F$18,IF(T493&gt;T494,B487,IF(T493&lt;T494,B505,IF(U493&gt;U494,B487,IF(U493&lt;U494,B505,T496)))),"No decision yet")</f>
        <v>No decision yet</v>
      </c>
      <c r="U492" s="104" t="e">
        <f>IF(T493&lt;10,"0","")&amp;T493&amp;":"&amp;IF(T494&lt;10,"0","")&amp;T494&amp;" | "&amp;IF(AND(A487&gt;0,A487&lt;33,B487=T492),"[b][color=Blue]"&amp;T487&amp;"[/color][/b]",IF(B487=T492,"[color=Blue]"&amp;T487&amp;"[/color]",IF(AND(A487&gt;0,A487&lt;33),"[b]"&amp;T487&amp;"[/b]",T487)))&amp;" vs. "&amp;IF(AND(A505&gt;0,A505&lt;33,B505=T492),"[b][color=Blue]"&amp;T505&amp;"[/color][/b]",IF(B505=T492,"[color=Blue]"&amp;T505&amp;"[/color]",IF(AND(A505&gt;0,A505&lt;33),"[b]"&amp;T505&amp;"[/b]",T505)))&amp;IF(OR(Singles!$B$40="yes",T493=T494)," #SRs: "&amp;U493&amp;"-"&amp;U494,"")&amp;IF(AND(T493=T494,U493=U494,U496&lt;17,Singles!$H$22=$F$18),", Shootout: SR"&amp;U496,"")</f>
        <v>#N/A</v>
      </c>
      <c r="V492" s="97">
        <f>VLOOKUP(5,X488:Y503,2,0)</f>
        <v>1</v>
      </c>
      <c r="X492" s="95">
        <f t="shared" si="300"/>
        <v>5</v>
      </c>
      <c r="Y492" s="95">
        <f t="shared" si="301"/>
        <v>1</v>
      </c>
      <c r="Z492" s="95">
        <f t="shared" si="302"/>
        <v>1</v>
      </c>
    </row>
    <row r="493" spans="1:26">
      <c r="A493" s="95">
        <v>6</v>
      </c>
      <c r="B493" s="95">
        <f>Singles!L118</f>
        <v>0</v>
      </c>
      <c r="C493" s="100" t="str">
        <f>IF(OR(LEFT(B493,LEN(B$7))=B$7,LEFT(B493,LEN(C$7))=C$7,LEN(B493)&lt;2),"","Wrong pick")</f>
        <v/>
      </c>
      <c r="D493" s="95">
        <f t="shared" ca="1" si="292"/>
        <v>0</v>
      </c>
      <c r="G493" s="95" t="str">
        <f>IF(B493=0,"",IF(LEFT(B493,LEN(B$7))=B$7,B$7,C$7))</f>
        <v/>
      </c>
      <c r="H493" s="95" t="str">
        <f t="shared" si="293"/>
        <v>0-0</v>
      </c>
      <c r="I493" s="95" t="str">
        <f ca="1">IF(AND(J493=Singles!$H$21,INDIRECT(ADDRESS(A493+1,6,1))=0,NOT(INDIRECT(ADDRESS(A493+1,5,1))="")),IF(D493=0,IF(H493=H511,"",G493&amp;" "&amp;H493&amp;" v "&amp;H511&amp;", "),G493&amp;" "&amp;H493&amp;" vs. "&amp;G511&amp;" "&amp;H511&amp;", "),"")</f>
        <v/>
      </c>
      <c r="J493" s="97">
        <f>Singles!H$8</f>
        <v>1</v>
      </c>
      <c r="K493" s="95" t="str">
        <f t="shared" si="294"/>
        <v>SR</v>
      </c>
      <c r="L493" s="95" t="str">
        <f t="shared" si="295"/>
        <v>0</v>
      </c>
      <c r="M493" s="95" t="str">
        <f t="shared" si="296"/>
        <v>0</v>
      </c>
      <c r="N493" s="95" t="str">
        <f t="shared" si="297"/>
        <v>0</v>
      </c>
      <c r="O493" s="95" t="str">
        <f t="shared" si="298"/>
        <v>0</v>
      </c>
      <c r="P493" s="95" t="str">
        <f t="shared" si="299"/>
        <v>0</v>
      </c>
      <c r="Q493" s="95">
        <f>IF(AND(G493=T$7,LEN(G493)&gt;1),1,0)</f>
        <v>0</v>
      </c>
      <c r="R493" s="97">
        <f>Singles!D$8</f>
        <v>6</v>
      </c>
      <c r="S493" s="95">
        <f>IF(AND(H493=H$7,LEN(H493)&gt;1,Q493=1),1,0)</f>
        <v>0</v>
      </c>
      <c r="T493" s="105">
        <f>SUM(Q488:Q503)</f>
        <v>0</v>
      </c>
      <c r="U493" s="97">
        <f>SUM(S488:S503)</f>
        <v>0</v>
      </c>
      <c r="V493" s="97">
        <f>VLOOKUP(6,X488:Y503,2,0)</f>
        <v>1</v>
      </c>
      <c r="X493" s="95">
        <f t="shared" si="300"/>
        <v>6</v>
      </c>
      <c r="Y493" s="95">
        <f t="shared" si="301"/>
        <v>1</v>
      </c>
      <c r="Z493" s="95">
        <f t="shared" si="302"/>
        <v>1</v>
      </c>
    </row>
    <row r="494" spans="1:26">
      <c r="A494" s="95">
        <v>7</v>
      </c>
      <c r="B494" s="95">
        <f>Singles!L119</f>
        <v>0</v>
      </c>
      <c r="C494" s="100" t="str">
        <f>IF(OR(LEFT(B494,LEN(B$8))=B$8,LEFT(B494,LEN(C$8))=C$8,LEN(B494)&lt;2),"","Wrong pick")</f>
        <v/>
      </c>
      <c r="D494" s="95">
        <f t="shared" ca="1" si="292"/>
        <v>0</v>
      </c>
      <c r="G494" s="95" t="str">
        <f>IF(B494=0,"",IF(LEFT(B494,LEN(B$8))=B$8,B$8,C$8))</f>
        <v/>
      </c>
      <c r="H494" s="95" t="str">
        <f t="shared" si="293"/>
        <v>0-0</v>
      </c>
      <c r="I494" s="95" t="str">
        <f ca="1">IF(AND(J494=Singles!$H$21,INDIRECT(ADDRESS(A494+1,6,1))=0,NOT(INDIRECT(ADDRESS(A494+1,5,1))="")),IF(D494=0,IF(H494=H512,"",G494&amp;" "&amp;H494&amp;" v "&amp;H512&amp;", "),G494&amp;" "&amp;H494&amp;" vs. "&amp;G512&amp;" "&amp;H512&amp;", "),"")</f>
        <v/>
      </c>
      <c r="J494" s="97">
        <f>Singles!H$9</f>
        <v>1</v>
      </c>
      <c r="K494" s="95" t="str">
        <f t="shared" si="294"/>
        <v>SR</v>
      </c>
      <c r="L494" s="95" t="str">
        <f t="shared" si="295"/>
        <v>0</v>
      </c>
      <c r="M494" s="95" t="str">
        <f t="shared" si="296"/>
        <v>0</v>
      </c>
      <c r="N494" s="95" t="str">
        <f t="shared" si="297"/>
        <v>0</v>
      </c>
      <c r="O494" s="95" t="str">
        <f t="shared" si="298"/>
        <v>0</v>
      </c>
      <c r="P494" s="95" t="str">
        <f t="shared" si="299"/>
        <v>0</v>
      </c>
      <c r="Q494" s="95">
        <f>IF(AND(G494=T$8,LEN(G494)&gt;1),1,0)</f>
        <v>0</v>
      </c>
      <c r="R494" s="97">
        <f>Singles!D$9</f>
        <v>7</v>
      </c>
      <c r="S494" s="95">
        <f>IF(AND(H494=H$8,LEN(H494)&gt;1,Q494=1),1,0)</f>
        <v>0</v>
      </c>
      <c r="T494" s="105">
        <f>SUM(Q506:Q521)</f>
        <v>0</v>
      </c>
      <c r="U494" s="97">
        <f>SUM(S506:S521)</f>
        <v>0</v>
      </c>
      <c r="V494" s="97">
        <f>VLOOKUP(7,X488:Y503,2,0)</f>
        <v>1</v>
      </c>
      <c r="X494" s="95">
        <f t="shared" si="300"/>
        <v>7</v>
      </c>
      <c r="Y494" s="95">
        <f t="shared" si="301"/>
        <v>1</v>
      </c>
      <c r="Z494" s="95">
        <f t="shared" si="302"/>
        <v>1</v>
      </c>
    </row>
    <row r="495" spans="1:26">
      <c r="A495" s="95">
        <v>8</v>
      </c>
      <c r="B495" s="95">
        <f>Singles!L120</f>
        <v>0</v>
      </c>
      <c r="C495" s="100" t="str">
        <f>IF(OR(LEFT(B495,LEN(B$9))=B$9,LEFT(B495,LEN(C$9))=C$9,LEN(B495)&lt;2),"","Wrong pick")</f>
        <v/>
      </c>
      <c r="D495" s="95">
        <f t="shared" ca="1" si="292"/>
        <v>0</v>
      </c>
      <c r="G495" s="95" t="str">
        <f>IF(B495=0,"",IF(LEFT(B495,LEN(B$9))=B$9,B$9,C$9))</f>
        <v/>
      </c>
      <c r="H495" s="95" t="str">
        <f t="shared" si="293"/>
        <v>0-0</v>
      </c>
      <c r="I495" s="95" t="str">
        <f ca="1">IF(AND(J495=Singles!$H$21,INDIRECT(ADDRESS(A495+1,6,1))=0,NOT(INDIRECT(ADDRESS(A495+1,5,1))="")),IF(D495=0,IF(H495=H513,"",G495&amp;" "&amp;H495&amp;" v "&amp;H513&amp;", "),G495&amp;" "&amp;H495&amp;" vs. "&amp;G513&amp;" "&amp;H513&amp;", "),"")</f>
        <v/>
      </c>
      <c r="J495" s="97">
        <f>Singles!H$10</f>
        <v>1</v>
      </c>
      <c r="K495" s="95" t="str">
        <f t="shared" si="294"/>
        <v>SR</v>
      </c>
      <c r="L495" s="95" t="str">
        <f t="shared" si="295"/>
        <v>0</v>
      </c>
      <c r="M495" s="95" t="str">
        <f t="shared" si="296"/>
        <v>0</v>
      </c>
      <c r="N495" s="95" t="str">
        <f t="shared" si="297"/>
        <v>0</v>
      </c>
      <c r="O495" s="95" t="str">
        <f t="shared" si="298"/>
        <v>0</v>
      </c>
      <c r="P495" s="95" t="str">
        <f t="shared" si="299"/>
        <v>0</v>
      </c>
      <c r="Q495" s="95">
        <f>IF(AND(G495=T$9,LEN(G495)&gt;1),1,0)</f>
        <v>0</v>
      </c>
      <c r="R495" s="97">
        <f>Singles!D$10</f>
        <v>8</v>
      </c>
      <c r="S495" s="95">
        <f>IF(AND(H495=H$9,LEN(H495)&gt;1,Q495=1),1,0)</f>
        <v>0</v>
      </c>
      <c r="V495" s="97">
        <f>VLOOKUP(8,X488:Y503,2,0)</f>
        <v>1</v>
      </c>
      <c r="X495" s="95">
        <f t="shared" si="300"/>
        <v>8</v>
      </c>
      <c r="Y495" s="95">
        <f t="shared" si="301"/>
        <v>1</v>
      </c>
      <c r="Z495" s="95">
        <f t="shared" si="302"/>
        <v>1</v>
      </c>
    </row>
    <row r="496" spans="1:26">
      <c r="A496" s="95">
        <v>9</v>
      </c>
      <c r="B496" s="95">
        <f>Singles!L121</f>
        <v>0</v>
      </c>
      <c r="C496" s="100" t="str">
        <f>IF(OR(LEFT(B496,LEN(B$10))=B$10,LEFT(B496,LEN(C$10))=C$10,LEN(B496)&lt;2),"","Wrong pick")</f>
        <v/>
      </c>
      <c r="D496" s="95">
        <f t="shared" ca="1" si="292"/>
        <v>0</v>
      </c>
      <c r="G496" s="95" t="str">
        <f>IF(B496=0,"",IF(LEFT(B496,LEN(B$10))=B$10,B$10,C$10))</f>
        <v/>
      </c>
      <c r="H496" s="95" t="str">
        <f t="shared" si="293"/>
        <v>0-0</v>
      </c>
      <c r="I496" s="95" t="str">
        <f ca="1">IF(AND(J496=Singles!$H$21,INDIRECT(ADDRESS(A496+1,6,1))=0,NOT(INDIRECT(ADDRESS(A496+1,5,1))="")),IF(D496=0,IF(H496=H514,"",G496&amp;" "&amp;H496&amp;" v "&amp;H514&amp;", "),G496&amp;" "&amp;H496&amp;" vs. "&amp;G514&amp;" "&amp;H514&amp;", "),"")</f>
        <v/>
      </c>
      <c r="J496" s="97">
        <f>Singles!H$11</f>
        <v>1</v>
      </c>
      <c r="K496" s="95" t="str">
        <f t="shared" si="294"/>
        <v>SR</v>
      </c>
      <c r="L496" s="95" t="str">
        <f t="shared" si="295"/>
        <v>0</v>
      </c>
      <c r="M496" s="95" t="str">
        <f t="shared" si="296"/>
        <v>0</v>
      </c>
      <c r="N496" s="95" t="str">
        <f t="shared" si="297"/>
        <v>0</v>
      </c>
      <c r="O496" s="95" t="str">
        <f t="shared" si="298"/>
        <v>0</v>
      </c>
      <c r="P496" s="95" t="str">
        <f t="shared" si="299"/>
        <v>0</v>
      </c>
      <c r="Q496" s="95">
        <f>IF(AND(G496=T$10,LEN(G496)&gt;1),1,0)</f>
        <v>0</v>
      </c>
      <c r="R496" s="97">
        <f>Singles!D$11</f>
        <v>9</v>
      </c>
      <c r="S496" s="95">
        <f>IF(AND(H496=H$10,LEN(H496)&gt;1,Q496=1),1,0)</f>
        <v>0</v>
      </c>
      <c r="T496" s="95" t="str">
        <f>VLOOKUP("Winner",T506:U522,2,0)</f>
        <v>Tied; see PTS</v>
      </c>
      <c r="U496" s="95">
        <f>VLOOKUP(T496,U506:W522,3,0)</f>
        <v>17</v>
      </c>
      <c r="V496" s="97">
        <f>VLOOKUP(9,X488:Y503,2,0)</f>
        <v>1</v>
      </c>
      <c r="X496" s="95">
        <f t="shared" si="300"/>
        <v>9</v>
      </c>
      <c r="Y496" s="95">
        <f t="shared" si="301"/>
        <v>1</v>
      </c>
      <c r="Z496" s="95">
        <f t="shared" si="302"/>
        <v>1</v>
      </c>
    </row>
    <row r="497" spans="1:26">
      <c r="A497" s="95">
        <v>10</v>
      </c>
      <c r="B497" s="95">
        <f>Singles!L122</f>
        <v>0</v>
      </c>
      <c r="C497" s="100" t="str">
        <f>IF(OR(LEFT(B497,LEN(B$11))=B$11,LEFT(B497,LEN(C$11))=C$11,LEN(B497)&lt;2),"","Wrong pick")</f>
        <v/>
      </c>
      <c r="D497" s="95">
        <f t="shared" ca="1" si="292"/>
        <v>0</v>
      </c>
      <c r="G497" s="95" t="str">
        <f>IF(B497=0,"",IF(LEFT(B497,LEN(B$11))=B$11,B$11,C$11))</f>
        <v/>
      </c>
      <c r="H497" s="95" t="str">
        <f t="shared" si="293"/>
        <v>0-0</v>
      </c>
      <c r="I497" s="95" t="str">
        <f ca="1">IF(AND(J497=Singles!$H$21,INDIRECT(ADDRESS(A497+1,6,1))=0,NOT(INDIRECT(ADDRESS(A497+1,5,1))="")),IF(D497=0,IF(H497=H515,"",G497&amp;" "&amp;H497&amp;" v "&amp;H515&amp;", "),G497&amp;" "&amp;H497&amp;" vs. "&amp;G515&amp;" "&amp;H515&amp;", "),"")</f>
        <v/>
      </c>
      <c r="J497" s="97">
        <f>Singles!H$12</f>
        <v>1</v>
      </c>
      <c r="K497" s="95" t="str">
        <f t="shared" si="294"/>
        <v>SR</v>
      </c>
      <c r="L497" s="95" t="str">
        <f t="shared" si="295"/>
        <v>0</v>
      </c>
      <c r="M497" s="95" t="str">
        <f t="shared" si="296"/>
        <v>0</v>
      </c>
      <c r="N497" s="95" t="str">
        <f t="shared" si="297"/>
        <v>0</v>
      </c>
      <c r="O497" s="95" t="str">
        <f t="shared" si="298"/>
        <v>0</v>
      </c>
      <c r="P497" s="95" t="str">
        <f t="shared" si="299"/>
        <v>0</v>
      </c>
      <c r="Q497" s="95">
        <f>IF(AND(G497=T$11,LEN(G497)&gt;1),1,0)</f>
        <v>0</v>
      </c>
      <c r="R497" s="97">
        <f>Singles!D$12</f>
        <v>10</v>
      </c>
      <c r="S497" s="95">
        <f>IF(AND(H497=H$11,LEN(H497)&gt;1,Q497=1),1,0)</f>
        <v>0</v>
      </c>
      <c r="V497" s="97">
        <f>VLOOKUP(10,X488:Y503,2,0)</f>
        <v>1</v>
      </c>
      <c r="X497" s="95">
        <f t="shared" si="300"/>
        <v>10</v>
      </c>
      <c r="Y497" s="95">
        <f t="shared" si="301"/>
        <v>1</v>
      </c>
      <c r="Z497" s="95">
        <f t="shared" si="302"/>
        <v>1</v>
      </c>
    </row>
    <row r="498" spans="1:26">
      <c r="A498" s="95">
        <v>11</v>
      </c>
      <c r="B498" s="95">
        <f>Singles!L123</f>
        <v>0</v>
      </c>
      <c r="C498" s="100" t="str">
        <f>IF(OR(LEFT(B498,LEN(B$12))=B$12,LEFT(B498,LEN(C$12))=C$12,LEN(B498)&lt;2),"","Wrong pick")</f>
        <v/>
      </c>
      <c r="D498" s="95">
        <f t="shared" ca="1" si="292"/>
        <v>0</v>
      </c>
      <c r="G498" s="95" t="str">
        <f>IF(B498=0,"",IF(LEFT(B498,LEN(B$12))=B$12,B$12,C$12))</f>
        <v/>
      </c>
      <c r="H498" s="95" t="str">
        <f t="shared" si="293"/>
        <v>0-0</v>
      </c>
      <c r="I498" s="95" t="str">
        <f ca="1">IF(AND(J498=Singles!$H$21,INDIRECT(ADDRESS(A498+1,6,1))=0,NOT(INDIRECT(ADDRESS(A498+1,5,1))="")),IF(D498=0,IF(H498=H516,"",G498&amp;" "&amp;H498&amp;" v "&amp;H516&amp;", "),G498&amp;" "&amp;H498&amp;" vs. "&amp;G516&amp;" "&amp;H516&amp;", "),"")</f>
        <v/>
      </c>
      <c r="J498" s="97">
        <f>Singles!H$13</f>
        <v>1</v>
      </c>
      <c r="K498" s="95" t="str">
        <f t="shared" si="294"/>
        <v>SR</v>
      </c>
      <c r="L498" s="95" t="str">
        <f t="shared" si="295"/>
        <v>0</v>
      </c>
      <c r="M498" s="95" t="str">
        <f t="shared" si="296"/>
        <v>0</v>
      </c>
      <c r="N498" s="95" t="str">
        <f t="shared" si="297"/>
        <v>0</v>
      </c>
      <c r="O498" s="95" t="str">
        <f t="shared" si="298"/>
        <v>0</v>
      </c>
      <c r="P498" s="95" t="str">
        <f t="shared" si="299"/>
        <v>0</v>
      </c>
      <c r="Q498" s="95">
        <f>IF(AND(G498=T$12,LEN(G498)&gt;1),1,0)</f>
        <v>0</v>
      </c>
      <c r="R498" s="97">
        <f>Singles!D$13</f>
        <v>11</v>
      </c>
      <c r="S498" s="95">
        <f>IF(AND(H498=H$12,LEN(H498)&gt;1,Q498=1),1,0)</f>
        <v>0</v>
      </c>
      <c r="V498" s="97">
        <f>VLOOKUP(11,X488:Y503,2,0)</f>
        <v>1</v>
      </c>
      <c r="X498" s="95">
        <f t="shared" si="300"/>
        <v>11</v>
      </c>
      <c r="Y498" s="95">
        <f t="shared" si="301"/>
        <v>1</v>
      </c>
      <c r="Z498" s="95">
        <f t="shared" si="302"/>
        <v>1</v>
      </c>
    </row>
    <row r="499" spans="1:26">
      <c r="A499" s="95">
        <v>12</v>
      </c>
      <c r="B499" s="95">
        <f>Singles!L124</f>
        <v>0</v>
      </c>
      <c r="C499" s="100" t="str">
        <f>IF(OR(LEFT(B499,LEN(B$13))=B$13,LEFT(B499,LEN(C$13))=C$13,LEN(B499)&lt;2),"","Wrong pick")</f>
        <v/>
      </c>
      <c r="D499" s="95">
        <f t="shared" ca="1" si="292"/>
        <v>0</v>
      </c>
      <c r="G499" s="95" t="str">
        <f>IF(B499=0,"",IF(LEFT(B499,LEN(B$13))=B$13,B$13,C$13))</f>
        <v/>
      </c>
      <c r="H499" s="95" t="str">
        <f t="shared" si="293"/>
        <v>0-0</v>
      </c>
      <c r="I499" s="95" t="str">
        <f ca="1">IF(AND(J499=Singles!$H$21,INDIRECT(ADDRESS(A499+1,6,1))=0,NOT(INDIRECT(ADDRESS(A499+1,5,1))="")),IF(D499=0,IF(H499=H517,"",G499&amp;" "&amp;H499&amp;" v "&amp;H517&amp;", "),G499&amp;" "&amp;H499&amp;" vs. "&amp;G517&amp;" "&amp;H517&amp;", "),"")</f>
        <v/>
      </c>
      <c r="J499" s="97">
        <f>Singles!H$14</f>
        <v>1</v>
      </c>
      <c r="K499" s="95" t="str">
        <f t="shared" si="294"/>
        <v>SR</v>
      </c>
      <c r="L499" s="95" t="str">
        <f t="shared" si="295"/>
        <v>0</v>
      </c>
      <c r="M499" s="95" t="str">
        <f t="shared" si="296"/>
        <v>0</v>
      </c>
      <c r="N499" s="95" t="str">
        <f t="shared" si="297"/>
        <v>0</v>
      </c>
      <c r="O499" s="95" t="str">
        <f t="shared" si="298"/>
        <v>0</v>
      </c>
      <c r="P499" s="95" t="str">
        <f t="shared" si="299"/>
        <v>0</v>
      </c>
      <c r="Q499" s="95">
        <f>IF(AND(G499=T$13,LEN(G499)&gt;1),1,0)</f>
        <v>0</v>
      </c>
      <c r="R499" s="97">
        <f>Singles!D$14</f>
        <v>12</v>
      </c>
      <c r="S499" s="95">
        <f>IF(AND(H499=H$13,LEN(H499)&gt;1,Q499=1),1,0)</f>
        <v>0</v>
      </c>
      <c r="V499" s="97">
        <f>VLOOKUP(12,X488:Y503,2,0)</f>
        <v>1</v>
      </c>
      <c r="X499" s="95">
        <f t="shared" si="300"/>
        <v>12</v>
      </c>
      <c r="Y499" s="95">
        <f t="shared" si="301"/>
        <v>1</v>
      </c>
      <c r="Z499" s="95">
        <f t="shared" si="302"/>
        <v>1</v>
      </c>
    </row>
    <row r="500" spans="1:26">
      <c r="A500" s="95">
        <v>13</v>
      </c>
      <c r="B500" s="95">
        <f>Singles!L125</f>
        <v>0</v>
      </c>
      <c r="C500" s="100" t="str">
        <f>IF(OR(LEFT(B500,LEN(B$14))=B$14,LEFT(B500,LEN(C$14))=C$14,LEN(B500)&lt;2),"","Wrong pick")</f>
        <v/>
      </c>
      <c r="D500" s="95">
        <f t="shared" ca="1" si="292"/>
        <v>0</v>
      </c>
      <c r="G500" s="95" t="str">
        <f>IF(B500=0,"",IF(LEFT(B500,LEN(B$14))=B$14,B$14,C$14))</f>
        <v/>
      </c>
      <c r="H500" s="95" t="str">
        <f t="shared" si="293"/>
        <v>0-0</v>
      </c>
      <c r="I500" s="95" t="str">
        <f ca="1">IF(AND(J500=Singles!$H$21,INDIRECT(ADDRESS(A500+1,6,1))=0,NOT(INDIRECT(ADDRESS(A500+1,5,1))="")),IF(D500=0,IF(H500=H518,"",G500&amp;" "&amp;H500&amp;" v "&amp;H518&amp;", "),G500&amp;" "&amp;H500&amp;" vs. "&amp;G518&amp;" "&amp;H518&amp;", "),"")</f>
        <v/>
      </c>
      <c r="J500" s="97">
        <f>Singles!H$15</f>
        <v>1</v>
      </c>
      <c r="K500" s="95" t="str">
        <f t="shared" si="294"/>
        <v>SR</v>
      </c>
      <c r="L500" s="95" t="str">
        <f t="shared" si="295"/>
        <v>0</v>
      </c>
      <c r="M500" s="95" t="str">
        <f t="shared" si="296"/>
        <v>0</v>
      </c>
      <c r="N500" s="95" t="str">
        <f t="shared" si="297"/>
        <v>0</v>
      </c>
      <c r="O500" s="95" t="str">
        <f t="shared" si="298"/>
        <v>0</v>
      </c>
      <c r="P500" s="95" t="str">
        <f t="shared" si="299"/>
        <v>0</v>
      </c>
      <c r="Q500" s="95">
        <f>IF(AND(G500=T$14,LEN(G500)&gt;1),1,0)</f>
        <v>0</v>
      </c>
      <c r="R500" s="97">
        <f>Singles!D$15</f>
        <v>13</v>
      </c>
      <c r="S500" s="95">
        <f>IF(AND(H500=H$14,LEN(H500)&gt;1,Q500=1),1,0)</f>
        <v>0</v>
      </c>
      <c r="V500" s="97">
        <f>VLOOKUP(13,X488:Y503,2,0)</f>
        <v>1</v>
      </c>
      <c r="X500" s="95">
        <f t="shared" si="300"/>
        <v>13</v>
      </c>
      <c r="Y500" s="95">
        <f t="shared" si="301"/>
        <v>1</v>
      </c>
      <c r="Z500" s="95">
        <f t="shared" si="302"/>
        <v>1</v>
      </c>
    </row>
    <row r="501" spans="1:26">
      <c r="A501" s="95">
        <v>14</v>
      </c>
      <c r="B501" s="95">
        <f>Singles!L126</f>
        <v>0</v>
      </c>
      <c r="C501" s="100" t="str">
        <f>IF(OR(LEFT(B501,LEN(B$15))=B$15,LEFT(B501,LEN(C$15))=C$15,LEN(B501)&lt;2),"","Wrong pick")</f>
        <v/>
      </c>
      <c r="D501" s="95">
        <f t="shared" ca="1" si="292"/>
        <v>0</v>
      </c>
      <c r="G501" s="95" t="str">
        <f>IF(B501=0,"",IF(LEFT(B501,LEN(B$15))=B$15,B$15,C$15))</f>
        <v/>
      </c>
      <c r="H501" s="95" t="str">
        <f t="shared" si="293"/>
        <v>0-0</v>
      </c>
      <c r="I501" s="95" t="str">
        <f ca="1">IF(AND(J501=Singles!$H$21,INDIRECT(ADDRESS(A501+1,6,1))=0,NOT(INDIRECT(ADDRESS(A501+1,5,1))="")),IF(D501=0,IF(H501=H519,"",G501&amp;" "&amp;H501&amp;" v "&amp;H519&amp;", "),G501&amp;" "&amp;H501&amp;" vs. "&amp;G519&amp;" "&amp;H519&amp;", "),"")</f>
        <v/>
      </c>
      <c r="J501" s="97">
        <f>Singles!H$16</f>
        <v>1</v>
      </c>
      <c r="K501" s="95" t="str">
        <f t="shared" si="294"/>
        <v>SR</v>
      </c>
      <c r="L501" s="95" t="str">
        <f t="shared" si="295"/>
        <v>0</v>
      </c>
      <c r="M501" s="95" t="str">
        <f t="shared" si="296"/>
        <v>0</v>
      </c>
      <c r="N501" s="95" t="str">
        <f t="shared" si="297"/>
        <v>0</v>
      </c>
      <c r="O501" s="95" t="str">
        <f t="shared" si="298"/>
        <v>0</v>
      </c>
      <c r="P501" s="95" t="str">
        <f t="shared" si="299"/>
        <v>0</v>
      </c>
      <c r="Q501" s="95">
        <f>IF(AND(G501=T$15,LEN(G501)&gt;1),1,0)</f>
        <v>0</v>
      </c>
      <c r="R501" s="97">
        <f>Singles!D$16</f>
        <v>14</v>
      </c>
      <c r="S501" s="95">
        <f>IF(AND(H501=H$15,LEN(H501)&gt;1,Q501=1),1,0)</f>
        <v>0</v>
      </c>
      <c r="V501" s="97">
        <f>VLOOKUP(14,X488:Y503,2,0)</f>
        <v>1</v>
      </c>
      <c r="X501" s="95">
        <f t="shared" si="300"/>
        <v>14</v>
      </c>
      <c r="Y501" s="95">
        <f t="shared" si="301"/>
        <v>1</v>
      </c>
      <c r="Z501" s="95">
        <f t="shared" si="302"/>
        <v>1</v>
      </c>
    </row>
    <row r="502" spans="1:26">
      <c r="A502" s="95">
        <v>15</v>
      </c>
      <c r="B502" s="95">
        <f>Singles!L127</f>
        <v>0</v>
      </c>
      <c r="C502" s="100" t="str">
        <f>IF(OR(LEFT(B502,LEN(B$16))=B$16,LEFT(B502,LEN(C$16))=C$16,LEN(B502)&lt;2),"","Wrong pick")</f>
        <v/>
      </c>
      <c r="D502" s="95">
        <f t="shared" ca="1" si="292"/>
        <v>0</v>
      </c>
      <c r="G502" s="95" t="str">
        <f>IF(B502=0,"",IF(LEFT(B502,LEN(B$16))=B$16,B$16,C$16))</f>
        <v/>
      </c>
      <c r="H502" s="95" t="str">
        <f t="shared" si="293"/>
        <v>0-0</v>
      </c>
      <c r="I502" s="95" t="str">
        <f ca="1">IF(AND(J502=Singles!$H$21,INDIRECT(ADDRESS(A502+1,6,1))=0,NOT(INDIRECT(ADDRESS(A502+1,5,1))="")),IF(D502=0,IF(H502=H520,"",G502&amp;" "&amp;H502&amp;" v "&amp;H520&amp;", "),G502&amp;" "&amp;H502&amp;" vs. "&amp;G520&amp;" "&amp;H520&amp;", "),"")</f>
        <v/>
      </c>
      <c r="J502" s="97">
        <f>Singles!H$17</f>
        <v>1</v>
      </c>
      <c r="K502" s="95" t="str">
        <f t="shared" si="294"/>
        <v>SR</v>
      </c>
      <c r="L502" s="95" t="str">
        <f t="shared" si="295"/>
        <v>0</v>
      </c>
      <c r="M502" s="95" t="str">
        <f t="shared" si="296"/>
        <v>0</v>
      </c>
      <c r="N502" s="95" t="str">
        <f t="shared" si="297"/>
        <v>0</v>
      </c>
      <c r="O502" s="95" t="str">
        <f t="shared" si="298"/>
        <v>0</v>
      </c>
      <c r="P502" s="95" t="str">
        <f t="shared" si="299"/>
        <v>0</v>
      </c>
      <c r="Q502" s="95">
        <f>IF(AND(G502=T$16,LEN(G502)&gt;1),1,0)</f>
        <v>0</v>
      </c>
      <c r="R502" s="97">
        <f>Singles!D$17</f>
        <v>15</v>
      </c>
      <c r="S502" s="95">
        <f>IF(AND(H502=H$16,LEN(H502)&gt;1,Q502=1),1,0)</f>
        <v>0</v>
      </c>
      <c r="V502" s="97">
        <f>VLOOKUP(15,X488:Y503,2,0)</f>
        <v>1</v>
      </c>
      <c r="X502" s="95">
        <f t="shared" si="300"/>
        <v>15</v>
      </c>
      <c r="Y502" s="95">
        <f t="shared" si="301"/>
        <v>1</v>
      </c>
      <c r="Z502" s="95">
        <f t="shared" si="302"/>
        <v>1</v>
      </c>
    </row>
    <row r="503" spans="1:26">
      <c r="A503" s="95">
        <v>16</v>
      </c>
      <c r="B503" s="95">
        <f>Singles!L128</f>
        <v>0</v>
      </c>
      <c r="C503" s="100" t="str">
        <f>IF(OR(LEFT(B503,LEN(B$17))=B$17,LEFT(B503,LEN(C$17))=C$17,LEN(B503)&lt;2),"","Wrong pick")</f>
        <v/>
      </c>
      <c r="D503" s="95">
        <f t="shared" ca="1" si="292"/>
        <v>0</v>
      </c>
      <c r="G503" s="95" t="str">
        <f>IF(B503=0,"",IF(LEFT(B503,LEN(B$17))=B$17,B$17,C$17))</f>
        <v/>
      </c>
      <c r="H503" s="95" t="str">
        <f t="shared" si="293"/>
        <v>0-0</v>
      </c>
      <c r="I503" s="95" t="str">
        <f ca="1">IF(AND(J503=Singles!$H$21,INDIRECT(ADDRESS(A503+1,6,1))=0,NOT(INDIRECT(ADDRESS(A503+1,5,1))="")),IF(D503=0,IF(H503=H521,"",G503&amp;" "&amp;H503&amp;" v "&amp;H521&amp;", "),G503&amp;" "&amp;H503&amp;" vs. "&amp;G521&amp;" "&amp;H521&amp;", "),"")</f>
        <v/>
      </c>
      <c r="J503" s="97">
        <f>Singles!H$18</f>
        <v>1</v>
      </c>
      <c r="K503" s="95" t="str">
        <f t="shared" si="294"/>
        <v>SR</v>
      </c>
      <c r="L503" s="95" t="str">
        <f t="shared" si="295"/>
        <v>0</v>
      </c>
      <c r="M503" s="95" t="str">
        <f t="shared" si="296"/>
        <v>0</v>
      </c>
      <c r="N503" s="95" t="str">
        <f t="shared" si="297"/>
        <v>0</v>
      </c>
      <c r="O503" s="95" t="str">
        <f t="shared" si="298"/>
        <v>0</v>
      </c>
      <c r="P503" s="95" t="str">
        <f t="shared" si="299"/>
        <v>0</v>
      </c>
      <c r="Q503" s="95">
        <f>IF(AND(G503=T$17,LEN(G503)&gt;1),1,0)</f>
        <v>0</v>
      </c>
      <c r="R503" s="97">
        <f>Singles!D$18</f>
        <v>16</v>
      </c>
      <c r="S503" s="95">
        <f>IF(AND(H503=H$17,LEN(H503)&gt;1,Q503=1),1,0)</f>
        <v>0</v>
      </c>
      <c r="V503" s="97">
        <f>VLOOKUP(16,X488:Y503,2,0)</f>
        <v>1</v>
      </c>
      <c r="X503" s="95">
        <f t="shared" si="300"/>
        <v>16</v>
      </c>
      <c r="Y503" s="95">
        <f t="shared" si="301"/>
        <v>1</v>
      </c>
      <c r="Z503" s="95">
        <f t="shared" si="302"/>
        <v>1</v>
      </c>
    </row>
    <row r="505" spans="1:26">
      <c r="A505" s="95" t="e">
        <f>IF(LEN(VLOOKUP(B505,Singles!$A$2:$B$33,2,0))&gt;0,VLOOKUP(B505,Singles!$A$2:$B$33,2,0),"")</f>
        <v>#N/A</v>
      </c>
      <c r="B505" s="96">
        <f>Singles!M112</f>
        <v>0</v>
      </c>
      <c r="C505" s="96">
        <v>28</v>
      </c>
      <c r="D505" s="95" t="e">
        <f>VLOOKUP(B505,Singles!$A$2:$C$33,3,0)</f>
        <v>#N/A</v>
      </c>
      <c r="J505" s="95" t="s">
        <v>88</v>
      </c>
      <c r="Q505" s="95" t="s">
        <v>121</v>
      </c>
      <c r="S505" s="95" t="s">
        <v>122</v>
      </c>
      <c r="T505" s="95" t="e">
        <f>IF(LEN(A505)&gt;0,"("&amp;A505&amp;") "&amp;B505,B505)&amp;IF(LEN(D505)&gt;1," ("&amp;D505&amp;")","")</f>
        <v>#N/A</v>
      </c>
      <c r="V505" s="95" t="s">
        <v>123</v>
      </c>
      <c r="Y505" s="95" t="s">
        <v>123</v>
      </c>
    </row>
    <row r="506" spans="1:26">
      <c r="A506" s="95">
        <v>1</v>
      </c>
      <c r="B506" s="95">
        <f>Singles!M113</f>
        <v>0</v>
      </c>
      <c r="C506" s="99" t="str">
        <f>IF(OR(LEFT(B506,LEN(B$2))=B$2,LEFT(B506,LEN(C$2))=C$2,LEN(B506)&lt;2),"","Wrong pick")</f>
        <v/>
      </c>
      <c r="E506" s="95" t="str">
        <f ca="1">IF(AND(D488=1,J506=$I$2),G506&amp;", ","")&amp;IF(AND(D489=1,J507=$I$2),G507&amp;", ","")&amp;IF(AND(D490=1,J508=$I$2),G508&amp;", ","")&amp;IF(AND(D491=1,J509=$I$2),G509&amp;", ","")&amp;IF(AND(D492=1,J510=$I$2),G510&amp;", ","")&amp;IF(AND(D493=1,J511=$I$2),G511&amp;", ","")&amp;IF(AND(D494=1,J512=$I$2),G512&amp;", ","")&amp;IF(AND(D495=1,J513=$I$2),G513&amp;", ","")&amp;IF(AND(D496=1,J514=$I$2),G514&amp;", ","")&amp;IF(AND(D497=1,J515=$I$2),G515&amp;", ","")&amp;IF(AND(D498=1,J516=$I$2),G516&amp;", ","")&amp;IF(AND(D499=1,J517=$I$2),G517&amp;", ","")&amp;IF(AND(D500=1,J518=$I$2),G518&amp;", ","")&amp;IF(AND(D501=1,J519=$I$2),G519&amp;", ","")&amp;IF(AND(D502=1,J520=$I$2),G520&amp;", ","")&amp;IF(AND(D503=1,J521=$I$2),G521&amp;", ","")</f>
        <v/>
      </c>
      <c r="F506" s="95" t="str">
        <f>IF(AND(SUM(Z506:Z521)=$I$4,NOT(B505="Bye")),"Missing picks from "&amp;B505&amp;" ","")</f>
        <v xml:space="preserve">Missing picks from 0 </v>
      </c>
      <c r="G506" s="95" t="str">
        <f>IF(B506=0,"",IF(LEFT(B506,LEN(B$2))=B$2,B$2,C$2))</f>
        <v/>
      </c>
      <c r="H506" s="95" t="str">
        <f t="shared" ref="H506:H521" si="303">IF(L506="","",IF(K506="PTS",IF(LEN(O506)&lt;8,"2-0","2-1"),LEFT(O506,1)&amp;"-"&amp;RIGHT(O506,1)))</f>
        <v>0-0</v>
      </c>
      <c r="J506" s="97">
        <f>Singles!H$3</f>
        <v>1</v>
      </c>
      <c r="K506" s="95" t="str">
        <f t="shared" ref="K506:K521" si="304">IF(LEN(L506)&gt;0,IF(LEN(O506)&lt;4,"SR","PTS"),"")</f>
        <v>SR</v>
      </c>
      <c r="L506" s="95" t="str">
        <f t="shared" ref="L506:L521" si="305">TRIM(RIGHT(B506,LEN(B506)-LEN(G506)))</f>
        <v>0</v>
      </c>
      <c r="M506" s="95" t="str">
        <f t="shared" ref="M506:M521" si="306">SUBSTITUTE(L506,"-","")</f>
        <v>0</v>
      </c>
      <c r="N506" s="95" t="str">
        <f t="shared" ref="N506:N521" si="307">SUBSTITUTE(M506,","," ")</f>
        <v>0</v>
      </c>
      <c r="O506" s="95" t="str">
        <f t="shared" ref="O506:O521" si="308">IF(AND(LEN(TRIM(SUBSTITUTE(P506,"/","")))&gt;6,OR(LEFT(TRIM(SUBSTITUTE(P506,"/","")),2)="20",LEFT(TRIM(SUBSTITUTE(P506,"/","")),2)="21")),RIGHT(TRIM(SUBSTITUTE(P506,"/","")),LEN(TRIM(SUBSTITUTE(P506,"/","")))-3),TRIM(SUBSTITUTE(P506,"/","")))</f>
        <v>0</v>
      </c>
      <c r="P506" s="95" t="str">
        <f t="shared" ref="P506:P521" si="309">SUBSTITUTE(N506,":","")</f>
        <v>0</v>
      </c>
      <c r="Q506" s="95">
        <f>IF(AND(G506=T$2,LEN(G506)&gt;1),1,0)</f>
        <v>0</v>
      </c>
      <c r="R506" s="97">
        <f>Singles!D$3</f>
        <v>1</v>
      </c>
      <c r="S506" s="95">
        <f>IF(AND(H506=H$2,LEN(H506)&gt;1,Q506=1),1,0)</f>
        <v>0</v>
      </c>
      <c r="T506" s="95" t="str">
        <f t="shared" ref="T506:T521" si="310">IF(V488=V506,"No","Winner")</f>
        <v>No</v>
      </c>
      <c r="U506" s="95" t="str">
        <f>IF(T506="Winner",IF(V506&gt;V488,B505,B487),"")</f>
        <v/>
      </c>
      <c r="V506" s="97">
        <f>VLOOKUP(1,X506:Y521,2,0)</f>
        <v>1</v>
      </c>
      <c r="W506" s="95">
        <v>1</v>
      </c>
      <c r="X506" s="95">
        <f t="shared" ref="X506:X521" si="311">R506</f>
        <v>1</v>
      </c>
      <c r="Y506" s="95">
        <f t="shared" ref="Y506:Y521" si="312">IF(Q506=1,IF(S506=1,4,3),IF(H506="2-1",2,1))</f>
        <v>1</v>
      </c>
      <c r="Z506" s="95">
        <f t="shared" ref="Z506:Z521" si="313">IF(AND($I$2=J506,B506=0),1,0)</f>
        <v>1</v>
      </c>
    </row>
    <row r="507" spans="1:26">
      <c r="A507" s="95">
        <v>2</v>
      </c>
      <c r="B507" s="95">
        <f>Singles!M114</f>
        <v>0</v>
      </c>
      <c r="C507" s="100" t="str">
        <f>IF(OR(LEFT(B507,LEN(B$3))=B$3,LEFT(B507,LEN(C$3))=C$3,LEN(B507)&lt;2),"","Wrong pick")</f>
        <v/>
      </c>
      <c r="G507" s="95" t="str">
        <f>IF(B507=0,"",IF(LEFT(B507,LEN(B$3))=B$3,B$3,C$3))</f>
        <v/>
      </c>
      <c r="H507" s="95" t="str">
        <f t="shared" si="303"/>
        <v>0-0</v>
      </c>
      <c r="J507" s="97">
        <f>Singles!H$4</f>
        <v>1</v>
      </c>
      <c r="K507" s="95" t="str">
        <f t="shared" si="304"/>
        <v>SR</v>
      </c>
      <c r="L507" s="95" t="str">
        <f t="shared" si="305"/>
        <v>0</v>
      </c>
      <c r="M507" s="95" t="str">
        <f t="shared" si="306"/>
        <v>0</v>
      </c>
      <c r="N507" s="95" t="str">
        <f t="shared" si="307"/>
        <v>0</v>
      </c>
      <c r="O507" s="95" t="str">
        <f t="shared" si="308"/>
        <v>0</v>
      </c>
      <c r="P507" s="95" t="str">
        <f t="shared" si="309"/>
        <v>0</v>
      </c>
      <c r="Q507" s="95">
        <f>IF(AND(G507=T$3,LEN(G507)&gt;1),1,0)</f>
        <v>0</v>
      </c>
      <c r="R507" s="97">
        <f>Singles!D$4</f>
        <v>2</v>
      </c>
      <c r="S507" s="95">
        <f>IF(AND(H507=H$3,LEN(H507)&gt;1,Q507=1),1,0)</f>
        <v>0</v>
      </c>
      <c r="T507" s="95" t="str">
        <f t="shared" si="310"/>
        <v>No</v>
      </c>
      <c r="U507" s="95" t="str">
        <f>IF(T507="Winner",IF(V507&gt;V489,B505,B487),"")</f>
        <v/>
      </c>
      <c r="V507" s="97">
        <f>VLOOKUP(2,X506:Y521,2,0)</f>
        <v>1</v>
      </c>
      <c r="W507" s="95">
        <v>2</v>
      </c>
      <c r="X507" s="95">
        <f t="shared" si="311"/>
        <v>2</v>
      </c>
      <c r="Y507" s="95">
        <f t="shared" si="312"/>
        <v>1</v>
      </c>
      <c r="Z507" s="95">
        <f t="shared" si="313"/>
        <v>1</v>
      </c>
    </row>
    <row r="508" spans="1:26">
      <c r="A508" s="95">
        <v>3</v>
      </c>
      <c r="B508" s="95">
        <f>Singles!M115</f>
        <v>0</v>
      </c>
      <c r="C508" s="100" t="str">
        <f>IF(OR(LEFT(B508,LEN(B$4))=B$4,LEFT(B508,LEN(C$4))=C$4,LEN(B508)&lt;2),"","Wrong pick")</f>
        <v/>
      </c>
      <c r="G508" s="95" t="str">
        <f>IF(B508=0,"",IF(LEFT(B508,LEN(B$4))=B$4,B$4,C$4))</f>
        <v/>
      </c>
      <c r="H508" s="95" t="str">
        <f t="shared" si="303"/>
        <v>0-0</v>
      </c>
      <c r="J508" s="97">
        <f>Singles!H$5</f>
        <v>1</v>
      </c>
      <c r="K508" s="95" t="str">
        <f t="shared" si="304"/>
        <v>SR</v>
      </c>
      <c r="L508" s="95" t="str">
        <f t="shared" si="305"/>
        <v>0</v>
      </c>
      <c r="M508" s="95" t="str">
        <f t="shared" si="306"/>
        <v>0</v>
      </c>
      <c r="N508" s="95" t="str">
        <f t="shared" si="307"/>
        <v>0</v>
      </c>
      <c r="O508" s="95" t="str">
        <f t="shared" si="308"/>
        <v>0</v>
      </c>
      <c r="P508" s="95" t="str">
        <f t="shared" si="309"/>
        <v>0</v>
      </c>
      <c r="Q508" s="95">
        <f>IF(AND(G508=T$4,LEN(G508)&gt;1),1,0)</f>
        <v>0</v>
      </c>
      <c r="R508" s="97">
        <f>Singles!D$5</f>
        <v>3</v>
      </c>
      <c r="S508" s="95">
        <f>IF(AND(H508=H$4,LEN(H508)&gt;1,Q508=1),1,0)</f>
        <v>0</v>
      </c>
      <c r="T508" s="95" t="str">
        <f t="shared" si="310"/>
        <v>No</v>
      </c>
      <c r="U508" s="95" t="str">
        <f>IF(T508="Winner",IF(V508&gt;V490,B505,B487),"")</f>
        <v/>
      </c>
      <c r="V508" s="97">
        <f>VLOOKUP(3,X506:Y521,2,0)</f>
        <v>1</v>
      </c>
      <c r="W508" s="95">
        <v>3</v>
      </c>
      <c r="X508" s="95">
        <f t="shared" si="311"/>
        <v>3</v>
      </c>
      <c r="Y508" s="95">
        <f t="shared" si="312"/>
        <v>1</v>
      </c>
      <c r="Z508" s="95">
        <f t="shared" si="313"/>
        <v>1</v>
      </c>
    </row>
    <row r="509" spans="1:26">
      <c r="A509" s="95">
        <v>4</v>
      </c>
      <c r="B509" s="95">
        <f>Singles!M116</f>
        <v>0</v>
      </c>
      <c r="C509" s="100" t="str">
        <f>IF(OR(LEFT(B509,LEN(B$5))=B$5,LEFT(B509,LEN(C$5))=C$5,LEN(B509)&lt;2),"","Wrong pick")</f>
        <v/>
      </c>
      <c r="G509" s="95" t="str">
        <f>IF(B509=0,"",IF(LEFT(B509,LEN(B$5))=B$5,B$5,C$5))</f>
        <v/>
      </c>
      <c r="H509" s="95" t="str">
        <f t="shared" si="303"/>
        <v>0-0</v>
      </c>
      <c r="J509" s="97">
        <f>Singles!H$6</f>
        <v>1</v>
      </c>
      <c r="K509" s="95" t="str">
        <f t="shared" si="304"/>
        <v>SR</v>
      </c>
      <c r="L509" s="95" t="str">
        <f t="shared" si="305"/>
        <v>0</v>
      </c>
      <c r="M509" s="95" t="str">
        <f t="shared" si="306"/>
        <v>0</v>
      </c>
      <c r="N509" s="95" t="str">
        <f t="shared" si="307"/>
        <v>0</v>
      </c>
      <c r="O509" s="95" t="str">
        <f t="shared" si="308"/>
        <v>0</v>
      </c>
      <c r="P509" s="95" t="str">
        <f t="shared" si="309"/>
        <v>0</v>
      </c>
      <c r="Q509" s="95">
        <f>IF(AND(G509=T$5,LEN(G509)&gt;1),1,0)</f>
        <v>0</v>
      </c>
      <c r="R509" s="97">
        <f>Singles!D$6</f>
        <v>4</v>
      </c>
      <c r="S509" s="95">
        <f>IF(AND(H509=H$5,LEN(H509)&gt;1,Q509=1),1,0)</f>
        <v>0</v>
      </c>
      <c r="T509" s="95" t="str">
        <f t="shared" si="310"/>
        <v>No</v>
      </c>
      <c r="U509" s="95" t="str">
        <f>IF(T509="Winner",IF(V509&gt;V491,B505,B487),"")</f>
        <v/>
      </c>
      <c r="V509" s="97">
        <f>VLOOKUP(4,X506:Y521,2,0)</f>
        <v>1</v>
      </c>
      <c r="W509" s="95">
        <v>4</v>
      </c>
      <c r="X509" s="95">
        <f t="shared" si="311"/>
        <v>4</v>
      </c>
      <c r="Y509" s="95">
        <f t="shared" si="312"/>
        <v>1</v>
      </c>
      <c r="Z509" s="95">
        <f t="shared" si="313"/>
        <v>1</v>
      </c>
    </row>
    <row r="510" spans="1:26">
      <c r="A510" s="95">
        <v>5</v>
      </c>
      <c r="B510" s="95">
        <f>Singles!M117</f>
        <v>0</v>
      </c>
      <c r="C510" s="100" t="str">
        <f>IF(OR(LEFT(B510,LEN(B$6))=B$6,LEFT(B510,LEN(C$6))=C$6,LEN(B510)&lt;2),"","Wrong pick")</f>
        <v/>
      </c>
      <c r="G510" s="95" t="str">
        <f>IF(B510=0,"",IF(LEFT(B510,LEN(B$6))=B$6,B$6,C$6))</f>
        <v/>
      </c>
      <c r="H510" s="95" t="str">
        <f t="shared" si="303"/>
        <v>0-0</v>
      </c>
      <c r="J510" s="97">
        <f>Singles!H$7</f>
        <v>1</v>
      </c>
      <c r="K510" s="95" t="str">
        <f t="shared" si="304"/>
        <v>SR</v>
      </c>
      <c r="L510" s="95" t="str">
        <f t="shared" si="305"/>
        <v>0</v>
      </c>
      <c r="M510" s="95" t="str">
        <f t="shared" si="306"/>
        <v>0</v>
      </c>
      <c r="N510" s="95" t="str">
        <f t="shared" si="307"/>
        <v>0</v>
      </c>
      <c r="O510" s="95" t="str">
        <f t="shared" si="308"/>
        <v>0</v>
      </c>
      <c r="P510" s="95" t="str">
        <f t="shared" si="309"/>
        <v>0</v>
      </c>
      <c r="Q510" s="95">
        <f>IF(AND(G510=T$6,LEN(G510)&gt;1),1,0)</f>
        <v>0</v>
      </c>
      <c r="R510" s="97">
        <f>Singles!D$7</f>
        <v>5</v>
      </c>
      <c r="S510" s="95">
        <f>IF(AND(H510=H$6,LEN(H510)&gt;1,Q510=1),1,0)</f>
        <v>0</v>
      </c>
      <c r="T510" s="95" t="str">
        <f t="shared" si="310"/>
        <v>No</v>
      </c>
      <c r="U510" s="95" t="str">
        <f>IF(T510="Winner",IF(V510&gt;V492,B505,B487),"")</f>
        <v/>
      </c>
      <c r="V510" s="97">
        <f>VLOOKUP(5,X506:Y521,2,0)</f>
        <v>1</v>
      </c>
      <c r="W510" s="95">
        <v>5</v>
      </c>
      <c r="X510" s="95">
        <f t="shared" si="311"/>
        <v>5</v>
      </c>
      <c r="Y510" s="95">
        <f t="shared" si="312"/>
        <v>1</v>
      </c>
      <c r="Z510" s="95">
        <f t="shared" si="313"/>
        <v>1</v>
      </c>
    </row>
    <row r="511" spans="1:26">
      <c r="A511" s="95">
        <v>6</v>
      </c>
      <c r="B511" s="95">
        <f>Singles!M118</f>
        <v>0</v>
      </c>
      <c r="C511" s="100" t="str">
        <f>IF(OR(LEFT(B511,LEN(B$7))=B$7,LEFT(B511,LEN(C$7))=C$7,LEN(B511)&lt;2),"","Wrong pick")</f>
        <v/>
      </c>
      <c r="G511" s="95" t="str">
        <f>IF(B511=0,"",IF(LEFT(B511,LEN(B$7))=B$7,B$7,C$7))</f>
        <v/>
      </c>
      <c r="H511" s="95" t="str">
        <f t="shared" si="303"/>
        <v>0-0</v>
      </c>
      <c r="J511" s="97">
        <f>Singles!H$8</f>
        <v>1</v>
      </c>
      <c r="K511" s="95" t="str">
        <f t="shared" si="304"/>
        <v>SR</v>
      </c>
      <c r="L511" s="95" t="str">
        <f t="shared" si="305"/>
        <v>0</v>
      </c>
      <c r="M511" s="95" t="str">
        <f t="shared" si="306"/>
        <v>0</v>
      </c>
      <c r="N511" s="95" t="str">
        <f t="shared" si="307"/>
        <v>0</v>
      </c>
      <c r="O511" s="95" t="str">
        <f t="shared" si="308"/>
        <v>0</v>
      </c>
      <c r="P511" s="95" t="str">
        <f t="shared" si="309"/>
        <v>0</v>
      </c>
      <c r="Q511" s="95">
        <f>IF(AND(G511=T$7,LEN(G511)&gt;1),1,0)</f>
        <v>0</v>
      </c>
      <c r="R511" s="97">
        <f>Singles!D$8</f>
        <v>6</v>
      </c>
      <c r="S511" s="95">
        <f>IF(AND(H511=H$7,LEN(H511)&gt;1,Q511=1),1,0)</f>
        <v>0</v>
      </c>
      <c r="T511" s="95" t="str">
        <f t="shared" si="310"/>
        <v>No</v>
      </c>
      <c r="U511" s="95" t="str">
        <f>IF(T511="Winner",IF(V511&gt;V493,B505,B487),"")</f>
        <v/>
      </c>
      <c r="V511" s="97">
        <f>VLOOKUP(6,X506:Y521,2,0)</f>
        <v>1</v>
      </c>
      <c r="W511" s="95">
        <v>6</v>
      </c>
      <c r="X511" s="95">
        <f t="shared" si="311"/>
        <v>6</v>
      </c>
      <c r="Y511" s="95">
        <f t="shared" si="312"/>
        <v>1</v>
      </c>
      <c r="Z511" s="95">
        <f t="shared" si="313"/>
        <v>1</v>
      </c>
    </row>
    <row r="512" spans="1:26">
      <c r="A512" s="95">
        <v>7</v>
      </c>
      <c r="B512" s="95">
        <f>Singles!M119</f>
        <v>0</v>
      </c>
      <c r="C512" s="100" t="str">
        <f>IF(OR(LEFT(B512,LEN(B$8))=B$8,LEFT(B512,LEN(C$8))=C$8,LEN(B512)&lt;2),"","Wrong pick")</f>
        <v/>
      </c>
      <c r="G512" s="95" t="str">
        <f>IF(B512=0,"",IF(LEFT(B512,LEN(B$8))=B$8,B$8,C$8))</f>
        <v/>
      </c>
      <c r="H512" s="95" t="str">
        <f t="shared" si="303"/>
        <v>0-0</v>
      </c>
      <c r="J512" s="97">
        <f>Singles!H$9</f>
        <v>1</v>
      </c>
      <c r="K512" s="95" t="str">
        <f t="shared" si="304"/>
        <v>SR</v>
      </c>
      <c r="L512" s="95" t="str">
        <f t="shared" si="305"/>
        <v>0</v>
      </c>
      <c r="M512" s="95" t="str">
        <f t="shared" si="306"/>
        <v>0</v>
      </c>
      <c r="N512" s="95" t="str">
        <f t="shared" si="307"/>
        <v>0</v>
      </c>
      <c r="O512" s="95" t="str">
        <f t="shared" si="308"/>
        <v>0</v>
      </c>
      <c r="P512" s="95" t="str">
        <f t="shared" si="309"/>
        <v>0</v>
      </c>
      <c r="Q512" s="95">
        <f>IF(AND(G512=T$8,LEN(G512)&gt;1),1,0)</f>
        <v>0</v>
      </c>
      <c r="R512" s="97">
        <f>Singles!D$9</f>
        <v>7</v>
      </c>
      <c r="S512" s="95">
        <f>IF(AND(H512=H$8,LEN(H512)&gt;1,Q512=1),1,0)</f>
        <v>0</v>
      </c>
      <c r="T512" s="95" t="str">
        <f t="shared" si="310"/>
        <v>No</v>
      </c>
      <c r="U512" s="95" t="str">
        <f>IF(T512="Winner",IF(V512&gt;V494,B505,B487),"")</f>
        <v/>
      </c>
      <c r="V512" s="97">
        <f>VLOOKUP(7,X506:Y521,2,0)</f>
        <v>1</v>
      </c>
      <c r="W512" s="95">
        <v>7</v>
      </c>
      <c r="X512" s="95">
        <f t="shared" si="311"/>
        <v>7</v>
      </c>
      <c r="Y512" s="95">
        <f t="shared" si="312"/>
        <v>1</v>
      </c>
      <c r="Z512" s="95">
        <f t="shared" si="313"/>
        <v>1</v>
      </c>
    </row>
    <row r="513" spans="1:26">
      <c r="A513" s="95">
        <v>8</v>
      </c>
      <c r="B513" s="95">
        <f>Singles!M120</f>
        <v>0</v>
      </c>
      <c r="C513" s="100" t="str">
        <f>IF(OR(LEFT(B513,LEN(B$9))=B$9,LEFT(B513,LEN(C$9))=C$9,LEN(B513)&lt;2),"","Wrong pick")</f>
        <v/>
      </c>
      <c r="G513" s="95" t="str">
        <f>IF(B513=0,"",IF(LEFT(B513,LEN(B$9))=B$9,B$9,C$9))</f>
        <v/>
      </c>
      <c r="H513" s="95" t="str">
        <f t="shared" si="303"/>
        <v>0-0</v>
      </c>
      <c r="J513" s="97">
        <f>Singles!H$10</f>
        <v>1</v>
      </c>
      <c r="K513" s="95" t="str">
        <f t="shared" si="304"/>
        <v>SR</v>
      </c>
      <c r="L513" s="95" t="str">
        <f t="shared" si="305"/>
        <v>0</v>
      </c>
      <c r="M513" s="95" t="str">
        <f t="shared" si="306"/>
        <v>0</v>
      </c>
      <c r="N513" s="95" t="str">
        <f t="shared" si="307"/>
        <v>0</v>
      </c>
      <c r="O513" s="95" t="str">
        <f t="shared" si="308"/>
        <v>0</v>
      </c>
      <c r="P513" s="95" t="str">
        <f t="shared" si="309"/>
        <v>0</v>
      </c>
      <c r="Q513" s="95">
        <f>IF(AND(G513=T$9,LEN(G513)&gt;1),1,0)</f>
        <v>0</v>
      </c>
      <c r="R513" s="97">
        <f>Singles!D$10</f>
        <v>8</v>
      </c>
      <c r="S513" s="95">
        <f>IF(AND(H513=H$9,LEN(H513)&gt;1,Q513=1),1,0)</f>
        <v>0</v>
      </c>
      <c r="T513" s="95" t="str">
        <f t="shared" si="310"/>
        <v>No</v>
      </c>
      <c r="U513" s="95" t="str">
        <f>IF(T513="Winner",IF(V513&gt;V495,B505,B487),"")</f>
        <v/>
      </c>
      <c r="V513" s="97">
        <f>VLOOKUP(8,X506:Y521,2,0)</f>
        <v>1</v>
      </c>
      <c r="W513" s="95">
        <v>8</v>
      </c>
      <c r="X513" s="95">
        <f t="shared" si="311"/>
        <v>8</v>
      </c>
      <c r="Y513" s="95">
        <f t="shared" si="312"/>
        <v>1</v>
      </c>
      <c r="Z513" s="95">
        <f t="shared" si="313"/>
        <v>1</v>
      </c>
    </row>
    <row r="514" spans="1:26">
      <c r="A514" s="95">
        <v>9</v>
      </c>
      <c r="B514" s="95">
        <f>Singles!M121</f>
        <v>0</v>
      </c>
      <c r="C514" s="100" t="str">
        <f>IF(OR(LEFT(B514,LEN(B$10))=B$10,LEFT(B514,LEN(C$10))=C$10,LEN(B514)&lt;2),"","Wrong pick")</f>
        <v/>
      </c>
      <c r="G514" s="95" t="str">
        <f>IF(B514=0,"",IF(LEFT(B514,LEN(B$10))=B$10,B$10,C$10))</f>
        <v/>
      </c>
      <c r="H514" s="95" t="str">
        <f t="shared" si="303"/>
        <v>0-0</v>
      </c>
      <c r="J514" s="97">
        <f>Singles!H$11</f>
        <v>1</v>
      </c>
      <c r="K514" s="95" t="str">
        <f t="shared" si="304"/>
        <v>SR</v>
      </c>
      <c r="L514" s="95" t="str">
        <f t="shared" si="305"/>
        <v>0</v>
      </c>
      <c r="M514" s="95" t="str">
        <f t="shared" si="306"/>
        <v>0</v>
      </c>
      <c r="N514" s="95" t="str">
        <f t="shared" si="307"/>
        <v>0</v>
      </c>
      <c r="O514" s="95" t="str">
        <f t="shared" si="308"/>
        <v>0</v>
      </c>
      <c r="P514" s="95" t="str">
        <f t="shared" si="309"/>
        <v>0</v>
      </c>
      <c r="Q514" s="95">
        <f>IF(AND(G514=T$10,LEN(G514)&gt;1),1,0)</f>
        <v>0</v>
      </c>
      <c r="R514" s="97">
        <f>Singles!D$11</f>
        <v>9</v>
      </c>
      <c r="S514" s="95">
        <f>IF(AND(H514=H$10,LEN(H514)&gt;1,Q514=1),1,0)</f>
        <v>0</v>
      </c>
      <c r="T514" s="95" t="str">
        <f t="shared" si="310"/>
        <v>No</v>
      </c>
      <c r="U514" s="95" t="str">
        <f>IF(T514="Winner",IF(V514&gt;V496,B505,B487),"")</f>
        <v/>
      </c>
      <c r="V514" s="97">
        <f>VLOOKUP(9,X506:Y521,2,0)</f>
        <v>1</v>
      </c>
      <c r="W514" s="95">
        <v>9</v>
      </c>
      <c r="X514" s="95">
        <f t="shared" si="311"/>
        <v>9</v>
      </c>
      <c r="Y514" s="95">
        <f t="shared" si="312"/>
        <v>1</v>
      </c>
      <c r="Z514" s="95">
        <f t="shared" si="313"/>
        <v>1</v>
      </c>
    </row>
    <row r="515" spans="1:26">
      <c r="A515" s="95">
        <v>10</v>
      </c>
      <c r="B515" s="95">
        <f>Singles!M122</f>
        <v>0</v>
      </c>
      <c r="C515" s="100" t="str">
        <f>IF(OR(LEFT(B515,LEN(B$11))=B$11,LEFT(B515,LEN(C$11))=C$11,LEN(B515)&lt;2),"","Wrong pick")</f>
        <v/>
      </c>
      <c r="G515" s="95" t="str">
        <f>IF(B515=0,"",IF(LEFT(B515,LEN(B$11))=B$11,B$11,C$11))</f>
        <v/>
      </c>
      <c r="H515" s="95" t="str">
        <f t="shared" si="303"/>
        <v>0-0</v>
      </c>
      <c r="J515" s="97">
        <f>Singles!H$12</f>
        <v>1</v>
      </c>
      <c r="K515" s="95" t="str">
        <f t="shared" si="304"/>
        <v>SR</v>
      </c>
      <c r="L515" s="95" t="str">
        <f t="shared" si="305"/>
        <v>0</v>
      </c>
      <c r="M515" s="95" t="str">
        <f t="shared" si="306"/>
        <v>0</v>
      </c>
      <c r="N515" s="95" t="str">
        <f t="shared" si="307"/>
        <v>0</v>
      </c>
      <c r="O515" s="95" t="str">
        <f t="shared" si="308"/>
        <v>0</v>
      </c>
      <c r="P515" s="95" t="str">
        <f t="shared" si="309"/>
        <v>0</v>
      </c>
      <c r="Q515" s="95">
        <f>IF(AND(G515=T$11,LEN(G515)&gt;1),1,0)</f>
        <v>0</v>
      </c>
      <c r="R515" s="97">
        <f>Singles!D$12</f>
        <v>10</v>
      </c>
      <c r="S515" s="95">
        <f>IF(AND(H515=H$11,LEN(H515)&gt;1,Q515=1),1,0)</f>
        <v>0</v>
      </c>
      <c r="T515" s="95" t="str">
        <f t="shared" si="310"/>
        <v>No</v>
      </c>
      <c r="U515" s="95" t="str">
        <f>IF(T515="Winner",IF(V515&gt;V497,B505,B487),"")</f>
        <v/>
      </c>
      <c r="V515" s="97">
        <f>VLOOKUP(10,X506:Y521,2,0)</f>
        <v>1</v>
      </c>
      <c r="W515" s="95">
        <v>10</v>
      </c>
      <c r="X515" s="95">
        <f t="shared" si="311"/>
        <v>10</v>
      </c>
      <c r="Y515" s="95">
        <f t="shared" si="312"/>
        <v>1</v>
      </c>
      <c r="Z515" s="95">
        <f t="shared" si="313"/>
        <v>1</v>
      </c>
    </row>
    <row r="516" spans="1:26">
      <c r="A516" s="95">
        <v>11</v>
      </c>
      <c r="B516" s="95">
        <f>Singles!M123</f>
        <v>0</v>
      </c>
      <c r="C516" s="100" t="str">
        <f>IF(OR(LEFT(B516,LEN(B$12))=B$12,LEFT(B516,LEN(C$12))=C$12,LEN(B516)&lt;2),"","Wrong pick")</f>
        <v/>
      </c>
      <c r="G516" s="95" t="str">
        <f>IF(B516=0,"",IF(LEFT(B516,LEN(B$12))=B$12,B$12,C$12))</f>
        <v/>
      </c>
      <c r="H516" s="95" t="str">
        <f t="shared" si="303"/>
        <v>0-0</v>
      </c>
      <c r="J516" s="97">
        <f>Singles!H$13</f>
        <v>1</v>
      </c>
      <c r="K516" s="95" t="str">
        <f t="shared" si="304"/>
        <v>SR</v>
      </c>
      <c r="L516" s="95" t="str">
        <f t="shared" si="305"/>
        <v>0</v>
      </c>
      <c r="M516" s="95" t="str">
        <f t="shared" si="306"/>
        <v>0</v>
      </c>
      <c r="N516" s="95" t="str">
        <f t="shared" si="307"/>
        <v>0</v>
      </c>
      <c r="O516" s="95" t="str">
        <f t="shared" si="308"/>
        <v>0</v>
      </c>
      <c r="P516" s="95" t="str">
        <f t="shared" si="309"/>
        <v>0</v>
      </c>
      <c r="Q516" s="95">
        <f>IF(AND(G516=T$12,LEN(G516)&gt;1),1,0)</f>
        <v>0</v>
      </c>
      <c r="R516" s="97">
        <f>Singles!D$13</f>
        <v>11</v>
      </c>
      <c r="S516" s="95">
        <f>IF(AND(H516=H$12,LEN(H516)&gt;1,Q516=1),1,0)</f>
        <v>0</v>
      </c>
      <c r="T516" s="95" t="str">
        <f t="shared" si="310"/>
        <v>No</v>
      </c>
      <c r="U516" s="95" t="str">
        <f>IF(T516="Winner",IF(V516&gt;V498,B505,B487),"")</f>
        <v/>
      </c>
      <c r="V516" s="97">
        <f>VLOOKUP(11,X506:Y521,2,0)</f>
        <v>1</v>
      </c>
      <c r="W516" s="95">
        <v>11</v>
      </c>
      <c r="X516" s="95">
        <f t="shared" si="311"/>
        <v>11</v>
      </c>
      <c r="Y516" s="95">
        <f t="shared" si="312"/>
        <v>1</v>
      </c>
      <c r="Z516" s="95">
        <f t="shared" si="313"/>
        <v>1</v>
      </c>
    </row>
    <row r="517" spans="1:26">
      <c r="A517" s="95">
        <v>12</v>
      </c>
      <c r="B517" s="95">
        <f>Singles!M124</f>
        <v>0</v>
      </c>
      <c r="C517" s="100" t="str">
        <f>IF(OR(LEFT(B517,LEN(B$13))=B$13,LEFT(B517,LEN(C$13))=C$13,LEN(B517)&lt;2),"","Wrong pick")</f>
        <v/>
      </c>
      <c r="G517" s="95" t="str">
        <f>IF(B517=0,"",IF(LEFT(B517,LEN(B$13))=B$13,B$13,C$13))</f>
        <v/>
      </c>
      <c r="H517" s="95" t="str">
        <f t="shared" si="303"/>
        <v>0-0</v>
      </c>
      <c r="J517" s="97">
        <f>Singles!H$14</f>
        <v>1</v>
      </c>
      <c r="K517" s="95" t="str">
        <f t="shared" si="304"/>
        <v>SR</v>
      </c>
      <c r="L517" s="95" t="str">
        <f t="shared" si="305"/>
        <v>0</v>
      </c>
      <c r="M517" s="95" t="str">
        <f t="shared" si="306"/>
        <v>0</v>
      </c>
      <c r="N517" s="95" t="str">
        <f t="shared" si="307"/>
        <v>0</v>
      </c>
      <c r="O517" s="95" t="str">
        <f t="shared" si="308"/>
        <v>0</v>
      </c>
      <c r="P517" s="95" t="str">
        <f t="shared" si="309"/>
        <v>0</v>
      </c>
      <c r="Q517" s="95">
        <f>IF(AND(G517=T$13,LEN(G517)&gt;1),1,0)</f>
        <v>0</v>
      </c>
      <c r="R517" s="97">
        <f>Singles!D$14</f>
        <v>12</v>
      </c>
      <c r="S517" s="95">
        <f>IF(AND(H517=H$13,LEN(H517)&gt;1,Q517=1),1,0)</f>
        <v>0</v>
      </c>
      <c r="T517" s="95" t="str">
        <f t="shared" si="310"/>
        <v>No</v>
      </c>
      <c r="U517" s="95" t="str">
        <f>IF(T517="Winner",IF(V517&gt;V499,B505,B487),"")</f>
        <v/>
      </c>
      <c r="V517" s="97">
        <f>VLOOKUP(12,X506:Y521,2,0)</f>
        <v>1</v>
      </c>
      <c r="W517" s="95">
        <v>12</v>
      </c>
      <c r="X517" s="95">
        <f t="shared" si="311"/>
        <v>12</v>
      </c>
      <c r="Y517" s="95">
        <f t="shared" si="312"/>
        <v>1</v>
      </c>
      <c r="Z517" s="95">
        <f t="shared" si="313"/>
        <v>1</v>
      </c>
    </row>
    <row r="518" spans="1:26">
      <c r="A518" s="95">
        <v>13</v>
      </c>
      <c r="B518" s="95">
        <f>Singles!M125</f>
        <v>0</v>
      </c>
      <c r="C518" s="100" t="str">
        <f>IF(OR(LEFT(B518,LEN(B$14))=B$14,LEFT(B518,LEN(C$14))=C$14,LEN(B518)&lt;2),"","Wrong pick")</f>
        <v/>
      </c>
      <c r="G518" s="95" t="str">
        <f>IF(B518=0,"",IF(LEFT(B518,LEN(B$14))=B$14,B$14,C$14))</f>
        <v/>
      </c>
      <c r="H518" s="95" t="str">
        <f t="shared" si="303"/>
        <v>0-0</v>
      </c>
      <c r="J518" s="97">
        <f>Singles!H$15</f>
        <v>1</v>
      </c>
      <c r="K518" s="95" t="str">
        <f t="shared" si="304"/>
        <v>SR</v>
      </c>
      <c r="L518" s="95" t="str">
        <f t="shared" si="305"/>
        <v>0</v>
      </c>
      <c r="M518" s="95" t="str">
        <f t="shared" si="306"/>
        <v>0</v>
      </c>
      <c r="N518" s="95" t="str">
        <f t="shared" si="307"/>
        <v>0</v>
      </c>
      <c r="O518" s="95" t="str">
        <f t="shared" si="308"/>
        <v>0</v>
      </c>
      <c r="P518" s="95" t="str">
        <f t="shared" si="309"/>
        <v>0</v>
      </c>
      <c r="Q518" s="95">
        <f>IF(AND(G518=T$14,LEN(G518)&gt;1),1,0)</f>
        <v>0</v>
      </c>
      <c r="R518" s="97">
        <f>Singles!D$15</f>
        <v>13</v>
      </c>
      <c r="S518" s="95">
        <f>IF(AND(H518=H$14,LEN(H518)&gt;1,Q518=1),1,0)</f>
        <v>0</v>
      </c>
      <c r="T518" s="95" t="str">
        <f t="shared" si="310"/>
        <v>No</v>
      </c>
      <c r="U518" s="95" t="str">
        <f>IF(T518="Winner",IF(V518&gt;V500,B505,B487),"")</f>
        <v/>
      </c>
      <c r="V518" s="97">
        <f>VLOOKUP(13,X506:Y521,2,0)</f>
        <v>1</v>
      </c>
      <c r="W518" s="95">
        <v>13</v>
      </c>
      <c r="X518" s="95">
        <f t="shared" si="311"/>
        <v>13</v>
      </c>
      <c r="Y518" s="95">
        <f t="shared" si="312"/>
        <v>1</v>
      </c>
      <c r="Z518" s="95">
        <f t="shared" si="313"/>
        <v>1</v>
      </c>
    </row>
    <row r="519" spans="1:26">
      <c r="A519" s="95">
        <v>14</v>
      </c>
      <c r="B519" s="95">
        <f>Singles!M126</f>
        <v>0</v>
      </c>
      <c r="C519" s="100" t="str">
        <f>IF(OR(LEFT(B519,LEN(B$15))=B$15,LEFT(B519,LEN(C$15))=C$15,LEN(B519)&lt;2),"","Wrong pick")</f>
        <v/>
      </c>
      <c r="G519" s="95" t="str">
        <f>IF(B519=0,"",IF(LEFT(B519,LEN(B$15))=B$15,B$15,C$15))</f>
        <v/>
      </c>
      <c r="H519" s="95" t="str">
        <f t="shared" si="303"/>
        <v>0-0</v>
      </c>
      <c r="J519" s="97">
        <f>Singles!H$16</f>
        <v>1</v>
      </c>
      <c r="K519" s="95" t="str">
        <f t="shared" si="304"/>
        <v>SR</v>
      </c>
      <c r="L519" s="95" t="str">
        <f t="shared" si="305"/>
        <v>0</v>
      </c>
      <c r="M519" s="95" t="str">
        <f t="shared" si="306"/>
        <v>0</v>
      </c>
      <c r="N519" s="95" t="str">
        <f t="shared" si="307"/>
        <v>0</v>
      </c>
      <c r="O519" s="95" t="str">
        <f t="shared" si="308"/>
        <v>0</v>
      </c>
      <c r="P519" s="95" t="str">
        <f t="shared" si="309"/>
        <v>0</v>
      </c>
      <c r="Q519" s="95">
        <f>IF(AND(G519=T$15,LEN(G519)&gt;1),1,0)</f>
        <v>0</v>
      </c>
      <c r="R519" s="97">
        <f>Singles!D$16</f>
        <v>14</v>
      </c>
      <c r="S519" s="95">
        <f>IF(AND(H519=H$15,LEN(H519)&gt;1,Q519=1),1,0)</f>
        <v>0</v>
      </c>
      <c r="T519" s="95" t="str">
        <f t="shared" si="310"/>
        <v>No</v>
      </c>
      <c r="U519" s="95" t="str">
        <f>IF(T519="Winner",IF(V519&gt;V501,B505,B487),"")</f>
        <v/>
      </c>
      <c r="V519" s="97">
        <f>VLOOKUP(14,X506:Y521,2,0)</f>
        <v>1</v>
      </c>
      <c r="W519" s="95">
        <v>14</v>
      </c>
      <c r="X519" s="95">
        <f t="shared" si="311"/>
        <v>14</v>
      </c>
      <c r="Y519" s="95">
        <f t="shared" si="312"/>
        <v>1</v>
      </c>
      <c r="Z519" s="95">
        <f t="shared" si="313"/>
        <v>1</v>
      </c>
    </row>
    <row r="520" spans="1:26">
      <c r="A520" s="95">
        <v>15</v>
      </c>
      <c r="B520" s="95">
        <f>Singles!M127</f>
        <v>0</v>
      </c>
      <c r="C520" s="100" t="str">
        <f>IF(OR(LEFT(B520,LEN(B$16))=B$16,LEFT(B520,LEN(C$16))=C$16,LEN(B520)&lt;2),"","Wrong pick")</f>
        <v/>
      </c>
      <c r="G520" s="95" t="str">
        <f>IF(B520=0,"",IF(LEFT(B520,LEN(B$16))=B$16,B$16,C$16))</f>
        <v/>
      </c>
      <c r="H520" s="95" t="str">
        <f t="shared" si="303"/>
        <v>0-0</v>
      </c>
      <c r="J520" s="97">
        <f>Singles!H$17</f>
        <v>1</v>
      </c>
      <c r="K520" s="95" t="str">
        <f t="shared" si="304"/>
        <v>SR</v>
      </c>
      <c r="L520" s="95" t="str">
        <f t="shared" si="305"/>
        <v>0</v>
      </c>
      <c r="M520" s="95" t="str">
        <f t="shared" si="306"/>
        <v>0</v>
      </c>
      <c r="N520" s="95" t="str">
        <f t="shared" si="307"/>
        <v>0</v>
      </c>
      <c r="O520" s="95" t="str">
        <f t="shared" si="308"/>
        <v>0</v>
      </c>
      <c r="P520" s="95" t="str">
        <f t="shared" si="309"/>
        <v>0</v>
      </c>
      <c r="Q520" s="95">
        <f>IF(AND(G520=T$16,LEN(G520)&gt;1),1,0)</f>
        <v>0</v>
      </c>
      <c r="R520" s="97">
        <f>Singles!D$17</f>
        <v>15</v>
      </c>
      <c r="S520" s="95">
        <f>IF(AND(H520=H$16,LEN(H520)&gt;1,Q520=1),1,0)</f>
        <v>0</v>
      </c>
      <c r="T520" s="95" t="str">
        <f t="shared" si="310"/>
        <v>No</v>
      </c>
      <c r="U520" s="95" t="str">
        <f>IF(T520="Winner",IF(V520&gt;V502,B505,B487),"")</f>
        <v/>
      </c>
      <c r="V520" s="97">
        <f>VLOOKUP(15,X506:Y521,2,0)</f>
        <v>1</v>
      </c>
      <c r="W520" s="95">
        <v>15</v>
      </c>
      <c r="X520" s="95">
        <f t="shared" si="311"/>
        <v>15</v>
      </c>
      <c r="Y520" s="95">
        <f t="shared" si="312"/>
        <v>1</v>
      </c>
      <c r="Z520" s="95">
        <f t="shared" si="313"/>
        <v>1</v>
      </c>
    </row>
    <row r="521" spans="1:26">
      <c r="A521" s="95">
        <v>16</v>
      </c>
      <c r="B521" s="95">
        <f>Singles!M128</f>
        <v>0</v>
      </c>
      <c r="C521" s="100" t="str">
        <f>IF(OR(LEFT(B521,LEN(B$17))=B$17,LEFT(B521,LEN(C$17))=C$17,LEN(B521)&lt;2),"","Wrong pick")</f>
        <v/>
      </c>
      <c r="G521" s="95" t="str">
        <f>IF(B521=0,"",IF(LEFT(B521,LEN(B$17))=B$17,B$17,C$17))</f>
        <v/>
      </c>
      <c r="H521" s="95" t="str">
        <f t="shared" si="303"/>
        <v>0-0</v>
      </c>
      <c r="J521" s="97">
        <f>Singles!H$18</f>
        <v>1</v>
      </c>
      <c r="K521" s="95" t="str">
        <f t="shared" si="304"/>
        <v>SR</v>
      </c>
      <c r="L521" s="95" t="str">
        <f t="shared" si="305"/>
        <v>0</v>
      </c>
      <c r="M521" s="95" t="str">
        <f t="shared" si="306"/>
        <v>0</v>
      </c>
      <c r="N521" s="95" t="str">
        <f t="shared" si="307"/>
        <v>0</v>
      </c>
      <c r="O521" s="95" t="str">
        <f t="shared" si="308"/>
        <v>0</v>
      </c>
      <c r="P521" s="95" t="str">
        <f t="shared" si="309"/>
        <v>0</v>
      </c>
      <c r="Q521" s="95">
        <f>IF(AND(G521=T$17,LEN(G521)&gt;1),1,0)</f>
        <v>0</v>
      </c>
      <c r="R521" s="97">
        <f>Singles!D$18</f>
        <v>16</v>
      </c>
      <c r="S521" s="95">
        <f>IF(AND(H521=H$17,LEN(H521)&gt;1,Q521=1),1,0)</f>
        <v>0</v>
      </c>
      <c r="T521" s="95" t="str">
        <f t="shared" si="310"/>
        <v>No</v>
      </c>
      <c r="U521" s="95" t="str">
        <f>IF(T521="Winner",IF(V521&gt;V503,B505,B487),"")</f>
        <v/>
      </c>
      <c r="V521" s="97">
        <f>VLOOKUP(16,X506:Y521,2,0)</f>
        <v>1</v>
      </c>
      <c r="W521" s="95">
        <v>16</v>
      </c>
      <c r="X521" s="95">
        <f t="shared" si="311"/>
        <v>16</v>
      </c>
      <c r="Y521" s="95">
        <f t="shared" si="312"/>
        <v>1</v>
      </c>
      <c r="Z521" s="95">
        <f t="shared" si="313"/>
        <v>1</v>
      </c>
    </row>
    <row r="522" spans="1:26">
      <c r="T522" s="95" t="s">
        <v>89</v>
      </c>
      <c r="U522" s="95" t="s">
        <v>125</v>
      </c>
      <c r="W522" s="95">
        <v>17</v>
      </c>
    </row>
    <row r="523" spans="1:26">
      <c r="A523" s="95" t="e">
        <f>IF(LEN(VLOOKUP(B523,Singles!$A$2:$B$33,2,0))&gt;0,VLOOKUP(B523,Singles!$A$2:$B$33,2,0),"")</f>
        <v>#N/A</v>
      </c>
      <c r="B523" s="96">
        <f>Singles!N112</f>
        <v>0</v>
      </c>
      <c r="C523" s="96">
        <v>29</v>
      </c>
      <c r="D523" s="95" t="e">
        <f>VLOOKUP(B523,Singles!$A$2:$C$33,3,0)</f>
        <v>#N/A</v>
      </c>
      <c r="J523" s="95" t="s">
        <v>88</v>
      </c>
      <c r="Q523" s="95" t="s">
        <v>121</v>
      </c>
      <c r="S523" s="95" t="s">
        <v>122</v>
      </c>
      <c r="T523" s="95" t="e">
        <f>IF(LEN(A523)&gt;0,"("&amp;A523&amp;") "&amp;B523,B523)&amp;IF(LEN(D523)&gt;1," ("&amp;D523&amp;")","")</f>
        <v>#N/A</v>
      </c>
      <c r="V523" s="95" t="s">
        <v>123</v>
      </c>
      <c r="Y523" s="95" t="s">
        <v>123</v>
      </c>
    </row>
    <row r="524" spans="1:26">
      <c r="A524" s="95">
        <v>1</v>
      </c>
      <c r="B524" s="95">
        <f>Singles!N113</f>
        <v>0</v>
      </c>
      <c r="C524" s="99" t="str">
        <f>IF(OR(LEFT(B524,LEN(B$2))=B$2,LEFT(B524,LEN(C$2))=C$2,LEN(B524)&lt;2),"","Wrong pick")</f>
        <v/>
      </c>
      <c r="D524" s="95">
        <f t="shared" ref="D524:D539" ca="1" si="314">IF(OR(G524=G542,INDIRECT(ADDRESS(A524+1,6,1))&gt;0),0,1)</f>
        <v>0</v>
      </c>
      <c r="E524" s="95" t="str">
        <f ca="1">IF(AND(D524=1,J524=$I$2),G524&amp;", ","")&amp;IF(AND(D525=1,J525=$I$2),G525&amp;", ","")&amp;IF(AND(D526=1,J526=$I$2),G526&amp;", ","")&amp;IF(AND(D527=1,J527=$I$2),G527&amp;", ","")&amp;IF(AND(D528=1,J528=$I$2),G528&amp;", ","")&amp;IF(AND(D529=1,J529=$I$2),G529&amp;", ","")&amp;IF(AND(D530=1,J530=$I$2),G530&amp;", ","")&amp;IF(AND(D531=1,J531=$I$2),G531&amp;", ","")&amp;IF(AND(D532=1,J532=$I$2),G532&amp;", ","")&amp;IF(AND(D533=1,J533=$I$2),G533&amp;", ","")&amp;IF(AND(D534=1,J534=$I$2),G534&amp;", ","")&amp;IF(AND(D535=1,J535=$I$2),G535&amp;", ","")&amp;IF(AND(D536=1,J536=$I$2),G536&amp;", ","")&amp;IF(AND(D537=1,J537=$I$2),G537&amp;", ","")&amp;IF(AND(D538=1,J538=$I$2),G538&amp;", ","")&amp;IF(AND(D539=1,J539=$I$2),G539&amp;", ","")</f>
        <v/>
      </c>
      <c r="F524" s="95" t="str">
        <f>IF(AND(SUM(Z524:Z539)=$I$4,NOT(B523="Bye")),"Missing picks from "&amp;B523&amp;" ","")</f>
        <v xml:space="preserve">Missing picks from 0 </v>
      </c>
      <c r="G524" s="95" t="str">
        <f>IF(B524=0,"",IF(LEFT(B524,LEN(B$2))=B$2,B$2,C$2))</f>
        <v/>
      </c>
      <c r="H524" s="95" t="str">
        <f t="shared" ref="H524:H539" si="315">IF(L524="","",IF(K524="PTS",IF(LEN(O524)&lt;8,"2-0","2-1"),LEFT(O524,1)&amp;"-"&amp;RIGHT(O524,1)))</f>
        <v>0-0</v>
      </c>
      <c r="I524" s="95" t="str">
        <f ca="1">IF(AND(J524=Singles!$H$21,INDIRECT(ADDRESS(A524+1,6,1))=0,NOT(INDIRECT(ADDRESS(A524+1,5,1))="")),IF(D524=0,IF(H524=H542,"",G524&amp;" "&amp;H524&amp;" v "&amp;H542&amp;", "),G524&amp;" "&amp;H524&amp;" vs. "&amp;G542&amp;" "&amp;H542&amp;", "),"")</f>
        <v/>
      </c>
      <c r="J524" s="97">
        <f>Singles!H$3</f>
        <v>1</v>
      </c>
      <c r="K524" s="95" t="str">
        <f t="shared" ref="K524:K539" si="316">IF(LEN(L524)&gt;0,IF(LEN(O524)&lt;4,"SR","PTS"),"")</f>
        <v>SR</v>
      </c>
      <c r="L524" s="95" t="str">
        <f t="shared" ref="L524:L539" si="317">TRIM(RIGHT(B524,LEN(B524)-LEN(G524)))</f>
        <v>0</v>
      </c>
      <c r="M524" s="95" t="str">
        <f t="shared" ref="M524:M539" si="318">SUBSTITUTE(L524,"-","")</f>
        <v>0</v>
      </c>
      <c r="N524" s="95" t="str">
        <f t="shared" ref="N524:N539" si="319">SUBSTITUTE(M524,","," ")</f>
        <v>0</v>
      </c>
      <c r="O524" s="95" t="str">
        <f t="shared" ref="O524:O539" si="320">IF(AND(LEN(TRIM(SUBSTITUTE(P524,"/","")))&gt;6,OR(LEFT(TRIM(SUBSTITUTE(P524,"/","")),2)="20",LEFT(TRIM(SUBSTITUTE(P524,"/","")),2)="21")),RIGHT(TRIM(SUBSTITUTE(P524,"/","")),LEN(TRIM(SUBSTITUTE(P524,"/","")))-3),TRIM(SUBSTITUTE(P524,"/","")))</f>
        <v>0</v>
      </c>
      <c r="P524" s="95" t="str">
        <f t="shared" ref="P524:P539" si="321">SUBSTITUTE(N524,":","")</f>
        <v>0</v>
      </c>
      <c r="Q524" s="95">
        <f>IF(AND(G524=T$2,LEN(G524)&gt;1),1,0)</f>
        <v>0</v>
      </c>
      <c r="R524" s="97">
        <f>Singles!D$3</f>
        <v>1</v>
      </c>
      <c r="S524" s="95">
        <f>IF(AND(H524=H$2,LEN(H524)&gt;1,Q524=1),1,0)</f>
        <v>0</v>
      </c>
      <c r="T524" s="95" t="str">
        <f ca="1">" SR Differences: "&amp;IF(LEN(I524&amp;I525&amp;I526&amp;I527&amp;I528&amp;I529&amp;I530&amp;I531&amp;I532&amp;I533&amp;I534&amp;I535&amp;I536&amp;I537&amp;I538&amp;I539)&lt;3,"None..",I524&amp;I525&amp;I526&amp;I527&amp;I528&amp;I529&amp;I530&amp;I531&amp;I532&amp;I533&amp;I534&amp;I535&amp;I536&amp;I537&amp;I538&amp;I539)</f>
        <v xml:space="preserve"> SR Differences: None..</v>
      </c>
      <c r="V524" s="97">
        <f>VLOOKUP(1,X524:Y539,2,0)</f>
        <v>1</v>
      </c>
      <c r="X524" s="95">
        <f t="shared" ref="X524:X539" si="322">R524</f>
        <v>1</v>
      </c>
      <c r="Y524" s="95">
        <f t="shared" ref="Y524:Y539" si="323">IF(Q524=1,IF(S524=1,4,3),IF(H524="2-1",2,1))</f>
        <v>1</v>
      </c>
      <c r="Z524" s="95">
        <f t="shared" ref="Z524:Z539" si="324">IF(AND($I$2=J524,B524=0),1,0)</f>
        <v>1</v>
      </c>
    </row>
    <row r="525" spans="1:26">
      <c r="A525" s="95">
        <v>2</v>
      </c>
      <c r="B525" s="95">
        <f>Singles!N114</f>
        <v>0</v>
      </c>
      <c r="C525" s="100" t="str">
        <f>IF(OR(LEFT(B525,LEN(B$3))=B$3,LEFT(B525,LEN(C$3))=C$3,LEN(B525)&lt;2),"","Wrong pick")</f>
        <v/>
      </c>
      <c r="D525" s="95">
        <f t="shared" ca="1" si="314"/>
        <v>0</v>
      </c>
      <c r="G525" s="95" t="str">
        <f>IF(B525=0,"",IF(LEFT(B525,LEN(B$3))=B$3,B$3,C$3))</f>
        <v/>
      </c>
      <c r="H525" s="95" t="str">
        <f t="shared" si="315"/>
        <v>0-0</v>
      </c>
      <c r="I525" s="95" t="str">
        <f ca="1">IF(AND(J525=Singles!$H$21,INDIRECT(ADDRESS(A525+1,6,1))=0,NOT(INDIRECT(ADDRESS(A525+1,5,1))="")),IF(D525=0,IF(H525=H543,"",G525&amp;" "&amp;H525&amp;" v "&amp;H543&amp;", "),G525&amp;" "&amp;H525&amp;" vs. "&amp;G543&amp;" "&amp;H543&amp;", "),"")</f>
        <v/>
      </c>
      <c r="J525" s="97">
        <f>Singles!H$4</f>
        <v>1</v>
      </c>
      <c r="K525" s="95" t="str">
        <f t="shared" si="316"/>
        <v>SR</v>
      </c>
      <c r="L525" s="95" t="str">
        <f t="shared" si="317"/>
        <v>0</v>
      </c>
      <c r="M525" s="95" t="str">
        <f t="shared" si="318"/>
        <v>0</v>
      </c>
      <c r="N525" s="95" t="str">
        <f t="shared" si="319"/>
        <v>0</v>
      </c>
      <c r="O525" s="95" t="str">
        <f t="shared" si="320"/>
        <v>0</v>
      </c>
      <c r="P525" s="95" t="str">
        <f t="shared" si="321"/>
        <v>0</v>
      </c>
      <c r="Q525" s="95">
        <f>IF(AND(G525=T$3,LEN(G525)&gt;1),1,0)</f>
        <v>0</v>
      </c>
      <c r="R525" s="97">
        <f>Singles!D$4</f>
        <v>2</v>
      </c>
      <c r="S525" s="95">
        <f>IF(AND(H525=H$3,LEN(H525)&gt;1,Q525=1),1,0)</f>
        <v>0</v>
      </c>
      <c r="T525" s="95" t="str">
        <f ca="1">IF(T526&gt;0,LEFT(E524,LEN(E524)-2)&amp;" vs. "&amp;LEFT(E542,LEN(E542)-2),IF(SUMIF(Singles!$H$3:$H$18,"="&amp;Singles!$H$21,Singles!$I$3:$I$18)=0,"Same winners;",""))</f>
        <v>Same winners;</v>
      </c>
      <c r="V525" s="97">
        <f>VLOOKUP(2,X524:Y539,2,0)</f>
        <v>1</v>
      </c>
      <c r="X525" s="95">
        <f t="shared" si="322"/>
        <v>2</v>
      </c>
      <c r="Y525" s="95">
        <f t="shared" si="323"/>
        <v>1</v>
      </c>
      <c r="Z525" s="95">
        <f t="shared" si="324"/>
        <v>1</v>
      </c>
    </row>
    <row r="526" spans="1:26">
      <c r="A526" s="95">
        <v>3</v>
      </c>
      <c r="B526" s="95">
        <f>Singles!N115</f>
        <v>0</v>
      </c>
      <c r="C526" s="100" t="str">
        <f>IF(OR(LEFT(B526,LEN(B$4))=B$4,LEFT(B526,LEN(C$4))=C$4,LEN(B526)&lt;2),"","Wrong pick")</f>
        <v/>
      </c>
      <c r="D526" s="95">
        <f t="shared" ca="1" si="314"/>
        <v>0</v>
      </c>
      <c r="G526" s="95" t="str">
        <f>IF(B526=0,"",IF(LEFT(B526,LEN(B$4))=B$4,B$4,C$4))</f>
        <v/>
      </c>
      <c r="H526" s="95" t="str">
        <f t="shared" si="315"/>
        <v>0-0</v>
      </c>
      <c r="I526" s="95" t="str">
        <f ca="1">IF(AND(J526=Singles!$H$21,INDIRECT(ADDRESS(A526+1,6,1))=0,NOT(INDIRECT(ADDRESS(A526+1,5,1))="")),IF(D526=0,IF(H526=H544,"",G526&amp;" "&amp;H526&amp;" v "&amp;H544&amp;", "),G526&amp;" "&amp;H526&amp;" vs. "&amp;G544&amp;" "&amp;H544&amp;", "),"")</f>
        <v/>
      </c>
      <c r="J526" s="97">
        <f>Singles!H$5</f>
        <v>1</v>
      </c>
      <c r="K526" s="95" t="str">
        <f t="shared" si="316"/>
        <v>SR</v>
      </c>
      <c r="L526" s="95" t="str">
        <f t="shared" si="317"/>
        <v>0</v>
      </c>
      <c r="M526" s="95" t="str">
        <f t="shared" si="318"/>
        <v>0</v>
      </c>
      <c r="N526" s="95" t="str">
        <f t="shared" si="319"/>
        <v>0</v>
      </c>
      <c r="O526" s="95" t="str">
        <f t="shared" si="320"/>
        <v>0</v>
      </c>
      <c r="P526" s="95" t="str">
        <f t="shared" si="321"/>
        <v>0</v>
      </c>
      <c r="Q526" s="95">
        <f>IF(AND(G526=T$4,LEN(G526)&gt;1),1,0)</f>
        <v>0</v>
      </c>
      <c r="R526" s="97">
        <f>Singles!D$5</f>
        <v>3</v>
      </c>
      <c r="S526" s="95">
        <f>IF(AND(H526=H$4,LEN(H526)&gt;1,Q526=1),1,0)</f>
        <v>0</v>
      </c>
      <c r="T526" s="101">
        <f ca="1">SUMIF(J524:J539,$I$2,D524:D539)</f>
        <v>0</v>
      </c>
      <c r="V526" s="97">
        <f>VLOOKUP(3,X524:Y539,2,0)</f>
        <v>1</v>
      </c>
      <c r="X526" s="95">
        <f t="shared" si="322"/>
        <v>3</v>
      </c>
      <c r="Y526" s="95">
        <f t="shared" si="323"/>
        <v>1</v>
      </c>
      <c r="Z526" s="95">
        <f t="shared" si="324"/>
        <v>1</v>
      </c>
    </row>
    <row r="527" spans="1:26">
      <c r="A527" s="95">
        <v>4</v>
      </c>
      <c r="B527" s="95">
        <f>Singles!N116</f>
        <v>0</v>
      </c>
      <c r="C527" s="100" t="str">
        <f>IF(OR(LEFT(B527,LEN(B$5))=B$5,LEFT(B527,LEN(C$5))=C$5,LEN(B527)&lt;2),"","Wrong pick")</f>
        <v/>
      </c>
      <c r="D527" s="95">
        <f t="shared" ca="1" si="314"/>
        <v>0</v>
      </c>
      <c r="G527" s="95" t="str">
        <f>IF(B527=0,"",IF(LEFT(B527,LEN(B$5))=B$5,B$5,C$5))</f>
        <v/>
      </c>
      <c r="H527" s="95" t="str">
        <f t="shared" si="315"/>
        <v>0-0</v>
      </c>
      <c r="I527" s="95" t="str">
        <f ca="1">IF(AND(J527=Singles!$H$21,INDIRECT(ADDRESS(A527+1,6,1))=0,NOT(INDIRECT(ADDRESS(A527+1,5,1))="")),IF(D527=0,IF(H527=H545,"",G527&amp;" "&amp;H527&amp;" v "&amp;H545&amp;", "),G527&amp;" "&amp;H527&amp;" vs. "&amp;G545&amp;" "&amp;H545&amp;", "),"")</f>
        <v/>
      </c>
      <c r="J527" s="97">
        <f>Singles!H$6</f>
        <v>1</v>
      </c>
      <c r="K527" s="95" t="str">
        <f t="shared" si="316"/>
        <v>SR</v>
      </c>
      <c r="L527" s="95" t="str">
        <f t="shared" si="317"/>
        <v>0</v>
      </c>
      <c r="M527" s="95" t="str">
        <f t="shared" si="318"/>
        <v>0</v>
      </c>
      <c r="N527" s="95" t="str">
        <f t="shared" si="319"/>
        <v>0</v>
      </c>
      <c r="O527" s="95" t="str">
        <f t="shared" si="320"/>
        <v>0</v>
      </c>
      <c r="P527" s="95" t="str">
        <f t="shared" si="321"/>
        <v>0</v>
      </c>
      <c r="Q527" s="95">
        <f>IF(AND(G527=T$5,LEN(G527)&gt;1),1,0)</f>
        <v>0</v>
      </c>
      <c r="R527" s="97">
        <f>Singles!D$6</f>
        <v>4</v>
      </c>
      <c r="S527" s="95">
        <f>IF(AND(H527=H$5,LEN(H527)&gt;1,Q527=1),1,0)</f>
        <v>0</v>
      </c>
      <c r="T527" s="102" t="e">
        <f>IF(T529&lt;10,"0","")&amp;T529&amp;":"&amp;IF(T530&lt;10,"0","")&amp;T530&amp;" | [b]"&amp;IF(LEN(U527)&gt;0,U527,T523&amp;"[/b] vs. [b]"&amp;T541&amp;"[/b]"&amp;IF(Singles!$H$21&gt;1," (SR "&amp;U529&amp;":"&amp;U530&amp;")","")&amp;" - "&amp;IF(COUNTIF(C524:C557,"=Wrong Pick")&gt;0,"Incorrect pick, probably a spelling mistake",IF(AND(F524="",F542=""),T525&amp;IF(AND(OR(AND(Singles!$H$20&gt;1,Singles!$H$21&lt;Singles!$H$20),MOD(T526+T529+T530,2)=0),NOT(Singles!$H$23="No")),LEFT(T524,LEN(T524)-2),""),F524&amp;F542)))</f>
        <v>#N/A</v>
      </c>
      <c r="U527" s="95" t="str">
        <f>IF(B523="Bye","Bye[/b] vs. [b][color=blue]"&amp;T541&amp;"[/color][/b]",IF(B541="Bye","[color=blue]"&amp;T523&amp;"[/color][/b] vs. [b]Bye[/b]",""))</f>
        <v/>
      </c>
      <c r="V527" s="97">
        <f>VLOOKUP(4,X524:Y539,2,0)</f>
        <v>1</v>
      </c>
      <c r="X527" s="95">
        <f t="shared" si="322"/>
        <v>4</v>
      </c>
      <c r="Y527" s="95">
        <f t="shared" si="323"/>
        <v>1</v>
      </c>
      <c r="Z527" s="95">
        <f t="shared" si="324"/>
        <v>1</v>
      </c>
    </row>
    <row r="528" spans="1:26">
      <c r="A528" s="95">
        <v>5</v>
      </c>
      <c r="B528" s="95">
        <f>Singles!N117</f>
        <v>0</v>
      </c>
      <c r="C528" s="100" t="str">
        <f>IF(OR(LEFT(B528,LEN(B$6))=B$6,LEFT(B528,LEN(C$6))=C$6,LEN(B528)&lt;2),"","Wrong pick")</f>
        <v/>
      </c>
      <c r="D528" s="95">
        <f t="shared" ca="1" si="314"/>
        <v>0</v>
      </c>
      <c r="G528" s="95" t="str">
        <f>IF(B528=0,"",IF(LEFT(B528,LEN(B$6))=B$6,B$6,C$6))</f>
        <v/>
      </c>
      <c r="H528" s="95" t="str">
        <f t="shared" si="315"/>
        <v>0-0</v>
      </c>
      <c r="I528" s="95" t="str">
        <f ca="1">IF(AND(J528=Singles!$H$21,INDIRECT(ADDRESS(A528+1,6,1))=0,NOT(INDIRECT(ADDRESS(A528+1,5,1))="")),IF(D528=0,IF(H528=H546,"",G528&amp;" "&amp;H528&amp;" v "&amp;H546&amp;", "),G528&amp;" "&amp;H528&amp;" vs. "&amp;G546&amp;" "&amp;H546&amp;", "),"")</f>
        <v/>
      </c>
      <c r="J528" s="97">
        <f>Singles!H$7</f>
        <v>1</v>
      </c>
      <c r="K528" s="95" t="str">
        <f t="shared" si="316"/>
        <v>SR</v>
      </c>
      <c r="L528" s="95" t="str">
        <f t="shared" si="317"/>
        <v>0</v>
      </c>
      <c r="M528" s="95" t="str">
        <f t="shared" si="318"/>
        <v>0</v>
      </c>
      <c r="N528" s="95" t="str">
        <f t="shared" si="319"/>
        <v>0</v>
      </c>
      <c r="O528" s="95" t="str">
        <f t="shared" si="320"/>
        <v>0</v>
      </c>
      <c r="P528" s="95" t="str">
        <f t="shared" si="321"/>
        <v>0</v>
      </c>
      <c r="Q528" s="95">
        <f>IF(AND(G528=T$6,LEN(G528)&gt;1),1,0)</f>
        <v>0</v>
      </c>
      <c r="R528" s="97">
        <f>Singles!D$7</f>
        <v>5</v>
      </c>
      <c r="S528" s="95">
        <f>IF(AND(H528=H$6,LEN(H528)&gt;1,Q528=1),1,0)</f>
        <v>0</v>
      </c>
      <c r="T528" s="103" t="str">
        <f>IF(Singles!$H$22=$F$18,IF(T529&gt;T530,B523,IF(T529&lt;T530,B541,IF(U529&gt;U530,B523,IF(U529&lt;U530,B541,T532)))),"No decision yet")</f>
        <v>No decision yet</v>
      </c>
      <c r="U528" s="104" t="e">
        <f>IF(T529&lt;10,"0","")&amp;T529&amp;":"&amp;IF(T530&lt;10,"0","")&amp;T530&amp;" | "&amp;IF(AND(A523&gt;0,A523&lt;33,B523=T528),"[b][color=Blue]"&amp;T523&amp;"[/color][/b]",IF(B523=T528,"[color=Blue]"&amp;T523&amp;"[/color]",IF(AND(A523&gt;0,A523&lt;33),"[b]"&amp;T523&amp;"[/b]",T523)))&amp;" vs. "&amp;IF(AND(A541&gt;0,A541&lt;33,B541=T528),"[b][color=Blue]"&amp;T541&amp;"[/color][/b]",IF(B541=T528,"[color=Blue]"&amp;T541&amp;"[/color]",IF(AND(A541&gt;0,A541&lt;33),"[b]"&amp;T541&amp;"[/b]",T541)))&amp;IF(OR(Singles!$B$40="yes",T529=T530)," #SRs: "&amp;U529&amp;"-"&amp;U530,"")&amp;IF(AND(T529=T530,U529=U530,U532&lt;17,Singles!$H$22=$F$18),", Shootout: SR"&amp;U532,"")</f>
        <v>#N/A</v>
      </c>
      <c r="V528" s="97">
        <f>VLOOKUP(5,X524:Y539,2,0)</f>
        <v>1</v>
      </c>
      <c r="X528" s="95">
        <f t="shared" si="322"/>
        <v>5</v>
      </c>
      <c r="Y528" s="95">
        <f t="shared" si="323"/>
        <v>1</v>
      </c>
      <c r="Z528" s="95">
        <f t="shared" si="324"/>
        <v>1</v>
      </c>
    </row>
    <row r="529" spans="1:26">
      <c r="A529" s="95">
        <v>6</v>
      </c>
      <c r="B529" s="95">
        <f>Singles!N118</f>
        <v>0</v>
      </c>
      <c r="C529" s="100" t="str">
        <f>IF(OR(LEFT(B529,LEN(B$7))=B$7,LEFT(B529,LEN(C$7))=C$7,LEN(B529)&lt;2),"","Wrong pick")</f>
        <v/>
      </c>
      <c r="D529" s="95">
        <f t="shared" ca="1" si="314"/>
        <v>0</v>
      </c>
      <c r="G529" s="95" t="str">
        <f>IF(B529=0,"",IF(LEFT(B529,LEN(B$7))=B$7,B$7,C$7))</f>
        <v/>
      </c>
      <c r="H529" s="95" t="str">
        <f t="shared" si="315"/>
        <v>0-0</v>
      </c>
      <c r="I529" s="95" t="str">
        <f ca="1">IF(AND(J529=Singles!$H$21,INDIRECT(ADDRESS(A529+1,6,1))=0,NOT(INDIRECT(ADDRESS(A529+1,5,1))="")),IF(D529=0,IF(H529=H547,"",G529&amp;" "&amp;H529&amp;" v "&amp;H547&amp;", "),G529&amp;" "&amp;H529&amp;" vs. "&amp;G547&amp;" "&amp;H547&amp;", "),"")</f>
        <v/>
      </c>
      <c r="J529" s="97">
        <f>Singles!H$8</f>
        <v>1</v>
      </c>
      <c r="K529" s="95" t="str">
        <f t="shared" si="316"/>
        <v>SR</v>
      </c>
      <c r="L529" s="95" t="str">
        <f t="shared" si="317"/>
        <v>0</v>
      </c>
      <c r="M529" s="95" t="str">
        <f t="shared" si="318"/>
        <v>0</v>
      </c>
      <c r="N529" s="95" t="str">
        <f t="shared" si="319"/>
        <v>0</v>
      </c>
      <c r="O529" s="95" t="str">
        <f t="shared" si="320"/>
        <v>0</v>
      </c>
      <c r="P529" s="95" t="str">
        <f t="shared" si="321"/>
        <v>0</v>
      </c>
      <c r="Q529" s="95">
        <f>IF(AND(G529=T$7,LEN(G529)&gt;1),1,0)</f>
        <v>0</v>
      </c>
      <c r="R529" s="97">
        <f>Singles!D$8</f>
        <v>6</v>
      </c>
      <c r="S529" s="95">
        <f>IF(AND(H529=H$7,LEN(H529)&gt;1,Q529=1),1,0)</f>
        <v>0</v>
      </c>
      <c r="T529" s="105">
        <f>SUM(Q524:Q539)</f>
        <v>0</v>
      </c>
      <c r="U529" s="97">
        <f>SUM(S524:S539)</f>
        <v>0</v>
      </c>
      <c r="V529" s="97">
        <f>VLOOKUP(6,X524:Y539,2,0)</f>
        <v>1</v>
      </c>
      <c r="X529" s="95">
        <f t="shared" si="322"/>
        <v>6</v>
      </c>
      <c r="Y529" s="95">
        <f t="shared" si="323"/>
        <v>1</v>
      </c>
      <c r="Z529" s="95">
        <f t="shared" si="324"/>
        <v>1</v>
      </c>
    </row>
    <row r="530" spans="1:26">
      <c r="A530" s="95">
        <v>7</v>
      </c>
      <c r="B530" s="95">
        <f>Singles!N119</f>
        <v>0</v>
      </c>
      <c r="C530" s="100" t="str">
        <f>IF(OR(LEFT(B530,LEN(B$8))=B$8,LEFT(B530,LEN(C$8))=C$8,LEN(B530)&lt;2),"","Wrong pick")</f>
        <v/>
      </c>
      <c r="D530" s="95">
        <f t="shared" ca="1" si="314"/>
        <v>0</v>
      </c>
      <c r="G530" s="95" t="str">
        <f>IF(B530=0,"",IF(LEFT(B530,LEN(B$8))=B$8,B$8,C$8))</f>
        <v/>
      </c>
      <c r="H530" s="95" t="str">
        <f t="shared" si="315"/>
        <v>0-0</v>
      </c>
      <c r="I530" s="95" t="str">
        <f ca="1">IF(AND(J530=Singles!$H$21,INDIRECT(ADDRESS(A530+1,6,1))=0,NOT(INDIRECT(ADDRESS(A530+1,5,1))="")),IF(D530=0,IF(H530=H548,"",G530&amp;" "&amp;H530&amp;" v "&amp;H548&amp;", "),G530&amp;" "&amp;H530&amp;" vs. "&amp;G548&amp;" "&amp;H548&amp;", "),"")</f>
        <v/>
      </c>
      <c r="J530" s="97">
        <f>Singles!H$9</f>
        <v>1</v>
      </c>
      <c r="K530" s="95" t="str">
        <f t="shared" si="316"/>
        <v>SR</v>
      </c>
      <c r="L530" s="95" t="str">
        <f t="shared" si="317"/>
        <v>0</v>
      </c>
      <c r="M530" s="95" t="str">
        <f t="shared" si="318"/>
        <v>0</v>
      </c>
      <c r="N530" s="95" t="str">
        <f t="shared" si="319"/>
        <v>0</v>
      </c>
      <c r="O530" s="95" t="str">
        <f t="shared" si="320"/>
        <v>0</v>
      </c>
      <c r="P530" s="95" t="str">
        <f t="shared" si="321"/>
        <v>0</v>
      </c>
      <c r="Q530" s="95">
        <f>IF(AND(G530=T$8,LEN(G530)&gt;1),1,0)</f>
        <v>0</v>
      </c>
      <c r="R530" s="97">
        <f>Singles!D$9</f>
        <v>7</v>
      </c>
      <c r="S530" s="95">
        <f>IF(AND(H530=H$8,LEN(H530)&gt;1,Q530=1),1,0)</f>
        <v>0</v>
      </c>
      <c r="T530" s="105">
        <f>SUM(Q542:Q557)</f>
        <v>0</v>
      </c>
      <c r="U530" s="97">
        <f>SUM(S542:S557)</f>
        <v>0</v>
      </c>
      <c r="V530" s="97">
        <f>VLOOKUP(7,X524:Y539,2,0)</f>
        <v>1</v>
      </c>
      <c r="X530" s="95">
        <f t="shared" si="322"/>
        <v>7</v>
      </c>
      <c r="Y530" s="95">
        <f t="shared" si="323"/>
        <v>1</v>
      </c>
      <c r="Z530" s="95">
        <f t="shared" si="324"/>
        <v>1</v>
      </c>
    </row>
    <row r="531" spans="1:26">
      <c r="A531" s="95">
        <v>8</v>
      </c>
      <c r="B531" s="95">
        <f>Singles!N120</f>
        <v>0</v>
      </c>
      <c r="C531" s="100" t="str">
        <f>IF(OR(LEFT(B531,LEN(B$9))=B$9,LEFT(B531,LEN(C$9))=C$9,LEN(B531)&lt;2),"","Wrong pick")</f>
        <v/>
      </c>
      <c r="D531" s="95">
        <f t="shared" ca="1" si="314"/>
        <v>0</v>
      </c>
      <c r="G531" s="95" t="str">
        <f>IF(B531=0,"",IF(LEFT(B531,LEN(B$9))=B$9,B$9,C$9))</f>
        <v/>
      </c>
      <c r="H531" s="95" t="str">
        <f t="shared" si="315"/>
        <v>0-0</v>
      </c>
      <c r="I531" s="95" t="str">
        <f ca="1">IF(AND(J531=Singles!$H$21,INDIRECT(ADDRESS(A531+1,6,1))=0,NOT(INDIRECT(ADDRESS(A531+1,5,1))="")),IF(D531=0,IF(H531=H549,"",G531&amp;" "&amp;H531&amp;" v "&amp;H549&amp;", "),G531&amp;" "&amp;H531&amp;" vs. "&amp;G549&amp;" "&amp;H549&amp;", "),"")</f>
        <v/>
      </c>
      <c r="J531" s="97">
        <f>Singles!H$10</f>
        <v>1</v>
      </c>
      <c r="K531" s="95" t="str">
        <f t="shared" si="316"/>
        <v>SR</v>
      </c>
      <c r="L531" s="95" t="str">
        <f t="shared" si="317"/>
        <v>0</v>
      </c>
      <c r="M531" s="95" t="str">
        <f t="shared" si="318"/>
        <v>0</v>
      </c>
      <c r="N531" s="95" t="str">
        <f t="shared" si="319"/>
        <v>0</v>
      </c>
      <c r="O531" s="95" t="str">
        <f t="shared" si="320"/>
        <v>0</v>
      </c>
      <c r="P531" s="95" t="str">
        <f t="shared" si="321"/>
        <v>0</v>
      </c>
      <c r="Q531" s="95">
        <f>IF(AND(G531=T$9,LEN(G531)&gt;1),1,0)</f>
        <v>0</v>
      </c>
      <c r="R531" s="97">
        <f>Singles!D$10</f>
        <v>8</v>
      </c>
      <c r="S531" s="95">
        <f>IF(AND(H531=H$9,LEN(H531)&gt;1,Q531=1),1,0)</f>
        <v>0</v>
      </c>
      <c r="V531" s="97">
        <f>VLOOKUP(8,X524:Y539,2,0)</f>
        <v>1</v>
      </c>
      <c r="X531" s="95">
        <f t="shared" si="322"/>
        <v>8</v>
      </c>
      <c r="Y531" s="95">
        <f t="shared" si="323"/>
        <v>1</v>
      </c>
      <c r="Z531" s="95">
        <f t="shared" si="324"/>
        <v>1</v>
      </c>
    </row>
    <row r="532" spans="1:26">
      <c r="A532" s="95">
        <v>9</v>
      </c>
      <c r="B532" s="95">
        <f>Singles!N121</f>
        <v>0</v>
      </c>
      <c r="C532" s="100" t="str">
        <f>IF(OR(LEFT(B532,LEN(B$10))=B$10,LEFT(B532,LEN(C$10))=C$10,LEN(B532)&lt;2),"","Wrong pick")</f>
        <v/>
      </c>
      <c r="D532" s="95">
        <f t="shared" ca="1" si="314"/>
        <v>0</v>
      </c>
      <c r="G532" s="95" t="str">
        <f>IF(B532=0,"",IF(LEFT(B532,LEN(B$10))=B$10,B$10,C$10))</f>
        <v/>
      </c>
      <c r="H532" s="95" t="str">
        <f t="shared" si="315"/>
        <v>0-0</v>
      </c>
      <c r="I532" s="95" t="str">
        <f ca="1">IF(AND(J532=Singles!$H$21,INDIRECT(ADDRESS(A532+1,6,1))=0,NOT(INDIRECT(ADDRESS(A532+1,5,1))="")),IF(D532=0,IF(H532=H550,"",G532&amp;" "&amp;H532&amp;" v "&amp;H550&amp;", "),G532&amp;" "&amp;H532&amp;" vs. "&amp;G550&amp;" "&amp;H550&amp;", "),"")</f>
        <v/>
      </c>
      <c r="J532" s="97">
        <f>Singles!H$11</f>
        <v>1</v>
      </c>
      <c r="K532" s="95" t="str">
        <f t="shared" si="316"/>
        <v>SR</v>
      </c>
      <c r="L532" s="95" t="str">
        <f t="shared" si="317"/>
        <v>0</v>
      </c>
      <c r="M532" s="95" t="str">
        <f t="shared" si="318"/>
        <v>0</v>
      </c>
      <c r="N532" s="95" t="str">
        <f t="shared" si="319"/>
        <v>0</v>
      </c>
      <c r="O532" s="95" t="str">
        <f t="shared" si="320"/>
        <v>0</v>
      </c>
      <c r="P532" s="95" t="str">
        <f t="shared" si="321"/>
        <v>0</v>
      </c>
      <c r="Q532" s="95">
        <f>IF(AND(G532=T$10,LEN(G532)&gt;1),1,0)</f>
        <v>0</v>
      </c>
      <c r="R532" s="97">
        <f>Singles!D$11</f>
        <v>9</v>
      </c>
      <c r="S532" s="95">
        <f>IF(AND(H532=H$10,LEN(H532)&gt;1,Q532=1),1,0)</f>
        <v>0</v>
      </c>
      <c r="T532" s="95" t="str">
        <f>VLOOKUP("Winner",T542:U558,2,0)</f>
        <v>Tied; see PTS</v>
      </c>
      <c r="U532" s="95">
        <f>VLOOKUP(T532,U542:W558,3,0)</f>
        <v>17</v>
      </c>
      <c r="V532" s="97">
        <f>VLOOKUP(9,X524:Y539,2,0)</f>
        <v>1</v>
      </c>
      <c r="X532" s="95">
        <f t="shared" si="322"/>
        <v>9</v>
      </c>
      <c r="Y532" s="95">
        <f t="shared" si="323"/>
        <v>1</v>
      </c>
      <c r="Z532" s="95">
        <f t="shared" si="324"/>
        <v>1</v>
      </c>
    </row>
    <row r="533" spans="1:26">
      <c r="A533" s="95">
        <v>10</v>
      </c>
      <c r="B533" s="95">
        <f>Singles!N122</f>
        <v>0</v>
      </c>
      <c r="C533" s="100" t="str">
        <f>IF(OR(LEFT(B533,LEN(B$11))=B$11,LEFT(B533,LEN(C$11))=C$11,LEN(B533)&lt;2),"","Wrong pick")</f>
        <v/>
      </c>
      <c r="D533" s="95">
        <f t="shared" ca="1" si="314"/>
        <v>0</v>
      </c>
      <c r="G533" s="95" t="str">
        <f>IF(B533=0,"",IF(LEFT(B533,LEN(B$11))=B$11,B$11,C$11))</f>
        <v/>
      </c>
      <c r="H533" s="95" t="str">
        <f t="shared" si="315"/>
        <v>0-0</v>
      </c>
      <c r="I533" s="95" t="str">
        <f ca="1">IF(AND(J533=Singles!$H$21,INDIRECT(ADDRESS(A533+1,6,1))=0,NOT(INDIRECT(ADDRESS(A533+1,5,1))="")),IF(D533=0,IF(H533=H551,"",G533&amp;" "&amp;H533&amp;" v "&amp;H551&amp;", "),G533&amp;" "&amp;H533&amp;" vs. "&amp;G551&amp;" "&amp;H551&amp;", "),"")</f>
        <v/>
      </c>
      <c r="J533" s="97">
        <f>Singles!H$12</f>
        <v>1</v>
      </c>
      <c r="K533" s="95" t="str">
        <f t="shared" si="316"/>
        <v>SR</v>
      </c>
      <c r="L533" s="95" t="str">
        <f t="shared" si="317"/>
        <v>0</v>
      </c>
      <c r="M533" s="95" t="str">
        <f t="shared" si="318"/>
        <v>0</v>
      </c>
      <c r="N533" s="95" t="str">
        <f t="shared" si="319"/>
        <v>0</v>
      </c>
      <c r="O533" s="95" t="str">
        <f t="shared" si="320"/>
        <v>0</v>
      </c>
      <c r="P533" s="95" t="str">
        <f t="shared" si="321"/>
        <v>0</v>
      </c>
      <c r="Q533" s="95">
        <f>IF(AND(G533=T$11,LEN(G533)&gt;1),1,0)</f>
        <v>0</v>
      </c>
      <c r="R533" s="97">
        <f>Singles!D$12</f>
        <v>10</v>
      </c>
      <c r="S533" s="95">
        <f>IF(AND(H533=H$11,LEN(H533)&gt;1,Q533=1),1,0)</f>
        <v>0</v>
      </c>
      <c r="V533" s="97">
        <f>VLOOKUP(10,X524:Y539,2,0)</f>
        <v>1</v>
      </c>
      <c r="X533" s="95">
        <f t="shared" si="322"/>
        <v>10</v>
      </c>
      <c r="Y533" s="95">
        <f t="shared" si="323"/>
        <v>1</v>
      </c>
      <c r="Z533" s="95">
        <f t="shared" si="324"/>
        <v>1</v>
      </c>
    </row>
    <row r="534" spans="1:26">
      <c r="A534" s="95">
        <v>11</v>
      </c>
      <c r="B534" s="95">
        <f>Singles!N123</f>
        <v>0</v>
      </c>
      <c r="C534" s="100" t="str">
        <f>IF(OR(LEFT(B534,LEN(B$12))=B$12,LEFT(B534,LEN(C$12))=C$12,LEN(B534)&lt;2),"","Wrong pick")</f>
        <v/>
      </c>
      <c r="D534" s="95">
        <f t="shared" ca="1" si="314"/>
        <v>0</v>
      </c>
      <c r="G534" s="95" t="str">
        <f>IF(B534=0,"",IF(LEFT(B534,LEN(B$12))=B$12,B$12,C$12))</f>
        <v/>
      </c>
      <c r="H534" s="95" t="str">
        <f t="shared" si="315"/>
        <v>0-0</v>
      </c>
      <c r="I534" s="95" t="str">
        <f ca="1">IF(AND(J534=Singles!$H$21,INDIRECT(ADDRESS(A534+1,6,1))=0,NOT(INDIRECT(ADDRESS(A534+1,5,1))="")),IF(D534=0,IF(H534=H552,"",G534&amp;" "&amp;H534&amp;" v "&amp;H552&amp;", "),G534&amp;" "&amp;H534&amp;" vs. "&amp;G552&amp;" "&amp;H552&amp;", "),"")</f>
        <v/>
      </c>
      <c r="J534" s="97">
        <f>Singles!H$13</f>
        <v>1</v>
      </c>
      <c r="K534" s="95" t="str">
        <f t="shared" si="316"/>
        <v>SR</v>
      </c>
      <c r="L534" s="95" t="str">
        <f t="shared" si="317"/>
        <v>0</v>
      </c>
      <c r="M534" s="95" t="str">
        <f t="shared" si="318"/>
        <v>0</v>
      </c>
      <c r="N534" s="95" t="str">
        <f t="shared" si="319"/>
        <v>0</v>
      </c>
      <c r="O534" s="95" t="str">
        <f t="shared" si="320"/>
        <v>0</v>
      </c>
      <c r="P534" s="95" t="str">
        <f t="shared" si="321"/>
        <v>0</v>
      </c>
      <c r="Q534" s="95">
        <f>IF(AND(G534=T$12,LEN(G534)&gt;1),1,0)</f>
        <v>0</v>
      </c>
      <c r="R534" s="97">
        <f>Singles!D$13</f>
        <v>11</v>
      </c>
      <c r="S534" s="95">
        <f>IF(AND(H534=H$12,LEN(H534)&gt;1,Q534=1),1,0)</f>
        <v>0</v>
      </c>
      <c r="V534" s="97">
        <f>VLOOKUP(11,X524:Y539,2,0)</f>
        <v>1</v>
      </c>
      <c r="X534" s="95">
        <f t="shared" si="322"/>
        <v>11</v>
      </c>
      <c r="Y534" s="95">
        <f t="shared" si="323"/>
        <v>1</v>
      </c>
      <c r="Z534" s="95">
        <f t="shared" si="324"/>
        <v>1</v>
      </c>
    </row>
    <row r="535" spans="1:26">
      <c r="A535" s="95">
        <v>12</v>
      </c>
      <c r="B535" s="95">
        <f>Singles!N124</f>
        <v>0</v>
      </c>
      <c r="C535" s="100" t="str">
        <f>IF(OR(LEFT(B535,LEN(B$13))=B$13,LEFT(B535,LEN(C$13))=C$13,LEN(B535)&lt;2),"","Wrong pick")</f>
        <v/>
      </c>
      <c r="D535" s="95">
        <f t="shared" ca="1" si="314"/>
        <v>0</v>
      </c>
      <c r="G535" s="95" t="str">
        <f>IF(B535=0,"",IF(LEFT(B535,LEN(B$13))=B$13,B$13,C$13))</f>
        <v/>
      </c>
      <c r="H535" s="95" t="str">
        <f t="shared" si="315"/>
        <v>0-0</v>
      </c>
      <c r="I535" s="95" t="str">
        <f ca="1">IF(AND(J535=Singles!$H$21,INDIRECT(ADDRESS(A535+1,6,1))=0,NOT(INDIRECT(ADDRESS(A535+1,5,1))="")),IF(D535=0,IF(H535=H553,"",G535&amp;" "&amp;H535&amp;" v "&amp;H553&amp;", "),G535&amp;" "&amp;H535&amp;" vs. "&amp;G553&amp;" "&amp;H553&amp;", "),"")</f>
        <v/>
      </c>
      <c r="J535" s="97">
        <f>Singles!H$14</f>
        <v>1</v>
      </c>
      <c r="K535" s="95" t="str">
        <f t="shared" si="316"/>
        <v>SR</v>
      </c>
      <c r="L535" s="95" t="str">
        <f t="shared" si="317"/>
        <v>0</v>
      </c>
      <c r="M535" s="95" t="str">
        <f t="shared" si="318"/>
        <v>0</v>
      </c>
      <c r="N535" s="95" t="str">
        <f t="shared" si="319"/>
        <v>0</v>
      </c>
      <c r="O535" s="95" t="str">
        <f t="shared" si="320"/>
        <v>0</v>
      </c>
      <c r="P535" s="95" t="str">
        <f t="shared" si="321"/>
        <v>0</v>
      </c>
      <c r="Q535" s="95">
        <f>IF(AND(G535=T$13,LEN(G535)&gt;1),1,0)</f>
        <v>0</v>
      </c>
      <c r="R535" s="97">
        <f>Singles!D$14</f>
        <v>12</v>
      </c>
      <c r="S535" s="95">
        <f>IF(AND(H535=H$13,LEN(H535)&gt;1,Q535=1),1,0)</f>
        <v>0</v>
      </c>
      <c r="V535" s="97">
        <f>VLOOKUP(12,X524:Y539,2,0)</f>
        <v>1</v>
      </c>
      <c r="X535" s="95">
        <f t="shared" si="322"/>
        <v>12</v>
      </c>
      <c r="Y535" s="95">
        <f t="shared" si="323"/>
        <v>1</v>
      </c>
      <c r="Z535" s="95">
        <f t="shared" si="324"/>
        <v>1</v>
      </c>
    </row>
    <row r="536" spans="1:26">
      <c r="A536" s="95">
        <v>13</v>
      </c>
      <c r="B536" s="95">
        <f>Singles!N125</f>
        <v>0</v>
      </c>
      <c r="C536" s="100" t="str">
        <f>IF(OR(LEFT(B536,LEN(B$14))=B$14,LEFT(B536,LEN(C$14))=C$14,LEN(B536)&lt;2),"","Wrong pick")</f>
        <v/>
      </c>
      <c r="D536" s="95">
        <f t="shared" ca="1" si="314"/>
        <v>0</v>
      </c>
      <c r="G536" s="95" t="str">
        <f>IF(B536=0,"",IF(LEFT(B536,LEN(B$14))=B$14,B$14,C$14))</f>
        <v/>
      </c>
      <c r="H536" s="95" t="str">
        <f t="shared" si="315"/>
        <v>0-0</v>
      </c>
      <c r="I536" s="95" t="str">
        <f ca="1">IF(AND(J536=Singles!$H$21,INDIRECT(ADDRESS(A536+1,6,1))=0,NOT(INDIRECT(ADDRESS(A536+1,5,1))="")),IF(D536=0,IF(H536=H554,"",G536&amp;" "&amp;H536&amp;" v "&amp;H554&amp;", "),G536&amp;" "&amp;H536&amp;" vs. "&amp;G554&amp;" "&amp;H554&amp;", "),"")</f>
        <v/>
      </c>
      <c r="J536" s="97">
        <f>Singles!H$15</f>
        <v>1</v>
      </c>
      <c r="K536" s="95" t="str">
        <f t="shared" si="316"/>
        <v>SR</v>
      </c>
      <c r="L536" s="95" t="str">
        <f t="shared" si="317"/>
        <v>0</v>
      </c>
      <c r="M536" s="95" t="str">
        <f t="shared" si="318"/>
        <v>0</v>
      </c>
      <c r="N536" s="95" t="str">
        <f t="shared" si="319"/>
        <v>0</v>
      </c>
      <c r="O536" s="95" t="str">
        <f t="shared" si="320"/>
        <v>0</v>
      </c>
      <c r="P536" s="95" t="str">
        <f t="shared" si="321"/>
        <v>0</v>
      </c>
      <c r="Q536" s="95">
        <f>IF(AND(G536=T$14,LEN(G536)&gt;1),1,0)</f>
        <v>0</v>
      </c>
      <c r="R536" s="97">
        <f>Singles!D$15</f>
        <v>13</v>
      </c>
      <c r="S536" s="95">
        <f>IF(AND(H536=H$14,LEN(H536)&gt;1,Q536=1),1,0)</f>
        <v>0</v>
      </c>
      <c r="V536" s="97">
        <f>VLOOKUP(13,X524:Y539,2,0)</f>
        <v>1</v>
      </c>
      <c r="X536" s="95">
        <f t="shared" si="322"/>
        <v>13</v>
      </c>
      <c r="Y536" s="95">
        <f t="shared" si="323"/>
        <v>1</v>
      </c>
      <c r="Z536" s="95">
        <f t="shared" si="324"/>
        <v>1</v>
      </c>
    </row>
    <row r="537" spans="1:26">
      <c r="A537" s="95">
        <v>14</v>
      </c>
      <c r="B537" s="95">
        <f>Singles!N126</f>
        <v>0</v>
      </c>
      <c r="C537" s="100" t="str">
        <f>IF(OR(LEFT(B537,LEN(B$15))=B$15,LEFT(B537,LEN(C$15))=C$15,LEN(B537)&lt;2),"","Wrong pick")</f>
        <v/>
      </c>
      <c r="D537" s="95">
        <f t="shared" ca="1" si="314"/>
        <v>0</v>
      </c>
      <c r="G537" s="95" t="str">
        <f>IF(B537=0,"",IF(LEFT(B537,LEN(B$15))=B$15,B$15,C$15))</f>
        <v/>
      </c>
      <c r="H537" s="95" t="str">
        <f t="shared" si="315"/>
        <v>0-0</v>
      </c>
      <c r="I537" s="95" t="str">
        <f ca="1">IF(AND(J537=Singles!$H$21,INDIRECT(ADDRESS(A537+1,6,1))=0,NOT(INDIRECT(ADDRESS(A537+1,5,1))="")),IF(D537=0,IF(H537=H555,"",G537&amp;" "&amp;H537&amp;" v "&amp;H555&amp;", "),G537&amp;" "&amp;H537&amp;" vs. "&amp;G555&amp;" "&amp;H555&amp;", "),"")</f>
        <v/>
      </c>
      <c r="J537" s="97">
        <f>Singles!H$16</f>
        <v>1</v>
      </c>
      <c r="K537" s="95" t="str">
        <f t="shared" si="316"/>
        <v>SR</v>
      </c>
      <c r="L537" s="95" t="str">
        <f t="shared" si="317"/>
        <v>0</v>
      </c>
      <c r="M537" s="95" t="str">
        <f t="shared" si="318"/>
        <v>0</v>
      </c>
      <c r="N537" s="95" t="str">
        <f t="shared" si="319"/>
        <v>0</v>
      </c>
      <c r="O537" s="95" t="str">
        <f t="shared" si="320"/>
        <v>0</v>
      </c>
      <c r="P537" s="95" t="str">
        <f t="shared" si="321"/>
        <v>0</v>
      </c>
      <c r="Q537" s="95">
        <f>IF(AND(G537=T$15,LEN(G537)&gt;1),1,0)</f>
        <v>0</v>
      </c>
      <c r="R537" s="97">
        <f>Singles!D$16</f>
        <v>14</v>
      </c>
      <c r="S537" s="95">
        <f>IF(AND(H537=H$15,LEN(H537)&gt;1,Q537=1),1,0)</f>
        <v>0</v>
      </c>
      <c r="V537" s="97">
        <f>VLOOKUP(14,X524:Y539,2,0)</f>
        <v>1</v>
      </c>
      <c r="X537" s="95">
        <f t="shared" si="322"/>
        <v>14</v>
      </c>
      <c r="Y537" s="95">
        <f t="shared" si="323"/>
        <v>1</v>
      </c>
      <c r="Z537" s="95">
        <f t="shared" si="324"/>
        <v>1</v>
      </c>
    </row>
    <row r="538" spans="1:26">
      <c r="A538" s="95">
        <v>15</v>
      </c>
      <c r="B538" s="95">
        <f>Singles!N127</f>
        <v>0</v>
      </c>
      <c r="C538" s="100" t="str">
        <f>IF(OR(LEFT(B538,LEN(B$16))=B$16,LEFT(B538,LEN(C$16))=C$16,LEN(B538)&lt;2),"","Wrong pick")</f>
        <v/>
      </c>
      <c r="D538" s="95">
        <f t="shared" ca="1" si="314"/>
        <v>0</v>
      </c>
      <c r="G538" s="95" t="str">
        <f>IF(B538=0,"",IF(LEFT(B538,LEN(B$16))=B$16,B$16,C$16))</f>
        <v/>
      </c>
      <c r="H538" s="95" t="str">
        <f t="shared" si="315"/>
        <v>0-0</v>
      </c>
      <c r="I538" s="95" t="str">
        <f ca="1">IF(AND(J538=Singles!$H$21,INDIRECT(ADDRESS(A538+1,6,1))=0,NOT(INDIRECT(ADDRESS(A538+1,5,1))="")),IF(D538=0,IF(H538=H556,"",G538&amp;" "&amp;H538&amp;" v "&amp;H556&amp;", "),G538&amp;" "&amp;H538&amp;" vs. "&amp;G556&amp;" "&amp;H556&amp;", "),"")</f>
        <v/>
      </c>
      <c r="J538" s="97">
        <f>Singles!H$17</f>
        <v>1</v>
      </c>
      <c r="K538" s="95" t="str">
        <f t="shared" si="316"/>
        <v>SR</v>
      </c>
      <c r="L538" s="95" t="str">
        <f t="shared" si="317"/>
        <v>0</v>
      </c>
      <c r="M538" s="95" t="str">
        <f t="shared" si="318"/>
        <v>0</v>
      </c>
      <c r="N538" s="95" t="str">
        <f t="shared" si="319"/>
        <v>0</v>
      </c>
      <c r="O538" s="95" t="str">
        <f t="shared" si="320"/>
        <v>0</v>
      </c>
      <c r="P538" s="95" t="str">
        <f t="shared" si="321"/>
        <v>0</v>
      </c>
      <c r="Q538" s="95">
        <f>IF(AND(G538=T$16,LEN(G538)&gt;1),1,0)</f>
        <v>0</v>
      </c>
      <c r="R538" s="97">
        <f>Singles!D$17</f>
        <v>15</v>
      </c>
      <c r="S538" s="95">
        <f>IF(AND(H538=H$16,LEN(H538)&gt;1,Q538=1),1,0)</f>
        <v>0</v>
      </c>
      <c r="V538" s="97">
        <f>VLOOKUP(15,X524:Y539,2,0)</f>
        <v>1</v>
      </c>
      <c r="X538" s="95">
        <f t="shared" si="322"/>
        <v>15</v>
      </c>
      <c r="Y538" s="95">
        <f t="shared" si="323"/>
        <v>1</v>
      </c>
      <c r="Z538" s="95">
        <f t="shared" si="324"/>
        <v>1</v>
      </c>
    </row>
    <row r="539" spans="1:26">
      <c r="A539" s="95">
        <v>16</v>
      </c>
      <c r="B539" s="95">
        <f>Singles!N128</f>
        <v>0</v>
      </c>
      <c r="C539" s="100" t="str">
        <f>IF(OR(LEFT(B539,LEN(B$17))=B$17,LEFT(B539,LEN(C$17))=C$17,LEN(B539)&lt;2),"","Wrong pick")</f>
        <v/>
      </c>
      <c r="D539" s="95">
        <f t="shared" ca="1" si="314"/>
        <v>0</v>
      </c>
      <c r="G539" s="95" t="str">
        <f>IF(B539=0,"",IF(LEFT(B539,LEN(B$17))=B$17,B$17,C$17))</f>
        <v/>
      </c>
      <c r="H539" s="95" t="str">
        <f t="shared" si="315"/>
        <v>0-0</v>
      </c>
      <c r="I539" s="95" t="str">
        <f ca="1">IF(AND(J539=Singles!$H$21,INDIRECT(ADDRESS(A539+1,6,1))=0,NOT(INDIRECT(ADDRESS(A539+1,5,1))="")),IF(D539=0,IF(H539=H557,"",G539&amp;" "&amp;H539&amp;" v "&amp;H557&amp;", "),G539&amp;" "&amp;H539&amp;" vs. "&amp;G557&amp;" "&amp;H557&amp;", "),"")</f>
        <v/>
      </c>
      <c r="J539" s="97">
        <f>Singles!H$18</f>
        <v>1</v>
      </c>
      <c r="K539" s="95" t="str">
        <f t="shared" si="316"/>
        <v>SR</v>
      </c>
      <c r="L539" s="95" t="str">
        <f t="shared" si="317"/>
        <v>0</v>
      </c>
      <c r="M539" s="95" t="str">
        <f t="shared" si="318"/>
        <v>0</v>
      </c>
      <c r="N539" s="95" t="str">
        <f t="shared" si="319"/>
        <v>0</v>
      </c>
      <c r="O539" s="95" t="str">
        <f t="shared" si="320"/>
        <v>0</v>
      </c>
      <c r="P539" s="95" t="str">
        <f t="shared" si="321"/>
        <v>0</v>
      </c>
      <c r="Q539" s="95">
        <f>IF(AND(G539=T$17,LEN(G539)&gt;1),1,0)</f>
        <v>0</v>
      </c>
      <c r="R539" s="97">
        <f>Singles!D$18</f>
        <v>16</v>
      </c>
      <c r="S539" s="95">
        <f>IF(AND(H539=H$17,LEN(H539)&gt;1,Q539=1),1,0)</f>
        <v>0</v>
      </c>
      <c r="V539" s="97">
        <f>VLOOKUP(16,X524:Y539,2,0)</f>
        <v>1</v>
      </c>
      <c r="X539" s="95">
        <f t="shared" si="322"/>
        <v>16</v>
      </c>
      <c r="Y539" s="95">
        <f t="shared" si="323"/>
        <v>1</v>
      </c>
      <c r="Z539" s="95">
        <f t="shared" si="324"/>
        <v>1</v>
      </c>
    </row>
    <row r="541" spans="1:26">
      <c r="A541" s="95" t="e">
        <f>IF(LEN(VLOOKUP(B541,Singles!$A$2:$B$33,2,0))&gt;0,VLOOKUP(B541,Singles!$A$2:$B$33,2,0),"")</f>
        <v>#N/A</v>
      </c>
      <c r="B541" s="96">
        <f>Singles!O112</f>
        <v>0</v>
      </c>
      <c r="C541" s="96">
        <v>30</v>
      </c>
      <c r="D541" s="95" t="e">
        <f>VLOOKUP(B541,Singles!$A$2:$C$33,3,0)</f>
        <v>#N/A</v>
      </c>
      <c r="J541" s="95" t="s">
        <v>88</v>
      </c>
      <c r="Q541" s="95" t="s">
        <v>121</v>
      </c>
      <c r="S541" s="95" t="s">
        <v>122</v>
      </c>
      <c r="T541" s="95" t="e">
        <f>IF(LEN(A541)&gt;0,"("&amp;A541&amp;") "&amp;B541,B541)&amp;IF(LEN(D541)&gt;1," ("&amp;D541&amp;")","")</f>
        <v>#N/A</v>
      </c>
      <c r="V541" s="95" t="s">
        <v>123</v>
      </c>
      <c r="Y541" s="95" t="s">
        <v>123</v>
      </c>
    </row>
    <row r="542" spans="1:26">
      <c r="A542" s="95">
        <v>1</v>
      </c>
      <c r="B542" s="95">
        <f>Singles!O113</f>
        <v>0</v>
      </c>
      <c r="C542" s="99" t="str">
        <f>IF(OR(LEFT(B542,LEN(B$2))=B$2,LEFT(B542,LEN(C$2))=C$2,LEN(B542)&lt;2),"","Wrong pick")</f>
        <v/>
      </c>
      <c r="E542" s="95" t="str">
        <f ca="1">IF(AND(D524=1,J542=$I$2),G542&amp;", ","")&amp;IF(AND(D525=1,J543=$I$2),G543&amp;", ","")&amp;IF(AND(D526=1,J544=$I$2),G544&amp;", ","")&amp;IF(AND(D527=1,J545=$I$2),G545&amp;", ","")&amp;IF(AND(D528=1,J546=$I$2),G546&amp;", ","")&amp;IF(AND(D529=1,J547=$I$2),G547&amp;", ","")&amp;IF(AND(D530=1,J548=$I$2),G548&amp;", ","")&amp;IF(AND(D531=1,J549=$I$2),G549&amp;", ","")&amp;IF(AND(D532=1,J550=$I$2),G550&amp;", ","")&amp;IF(AND(D533=1,J551=$I$2),G551&amp;", ","")&amp;IF(AND(D534=1,J552=$I$2),G552&amp;", ","")&amp;IF(AND(D535=1,J553=$I$2),G553&amp;", ","")&amp;IF(AND(D536=1,J554=$I$2),G554&amp;", ","")&amp;IF(AND(D537=1,J555=$I$2),G555&amp;", ","")&amp;IF(AND(D538=1,J556=$I$2),G556&amp;", ","")&amp;IF(AND(D539=1,J557=$I$2),G557&amp;", ","")</f>
        <v/>
      </c>
      <c r="F542" s="95" t="str">
        <f>IF(AND(SUM(Z542:Z557)=$I$4,NOT(B541="Bye")),"Missing picks from "&amp;B541&amp;" ","")</f>
        <v xml:space="preserve">Missing picks from 0 </v>
      </c>
      <c r="G542" s="95" t="str">
        <f>IF(B542=0,"",IF(LEFT(B542,LEN(B$2))=B$2,B$2,C$2))</f>
        <v/>
      </c>
      <c r="H542" s="95" t="str">
        <f t="shared" ref="H542:H557" si="325">IF(L542="","",IF(K542="PTS",IF(LEN(O542)&lt;8,"2-0","2-1"),LEFT(O542,1)&amp;"-"&amp;RIGHT(O542,1)))</f>
        <v>0-0</v>
      </c>
      <c r="J542" s="97">
        <f>Singles!H$3</f>
        <v>1</v>
      </c>
      <c r="K542" s="95" t="str">
        <f t="shared" ref="K542:K557" si="326">IF(LEN(L542)&gt;0,IF(LEN(O542)&lt;4,"SR","PTS"),"")</f>
        <v>SR</v>
      </c>
      <c r="L542" s="95" t="str">
        <f t="shared" ref="L542:L557" si="327">TRIM(RIGHT(B542,LEN(B542)-LEN(G542)))</f>
        <v>0</v>
      </c>
      <c r="M542" s="95" t="str">
        <f t="shared" ref="M542:M557" si="328">SUBSTITUTE(L542,"-","")</f>
        <v>0</v>
      </c>
      <c r="N542" s="95" t="str">
        <f t="shared" ref="N542:N557" si="329">SUBSTITUTE(M542,","," ")</f>
        <v>0</v>
      </c>
      <c r="O542" s="95" t="str">
        <f t="shared" ref="O542:O557" si="330">IF(AND(LEN(TRIM(SUBSTITUTE(P542,"/","")))&gt;6,OR(LEFT(TRIM(SUBSTITUTE(P542,"/","")),2)="20",LEFT(TRIM(SUBSTITUTE(P542,"/","")),2)="21")),RIGHT(TRIM(SUBSTITUTE(P542,"/","")),LEN(TRIM(SUBSTITUTE(P542,"/","")))-3),TRIM(SUBSTITUTE(P542,"/","")))</f>
        <v>0</v>
      </c>
      <c r="P542" s="95" t="str">
        <f t="shared" ref="P542:P557" si="331">SUBSTITUTE(N542,":","")</f>
        <v>0</v>
      </c>
      <c r="Q542" s="95">
        <f>IF(AND(G542=T$2,LEN(G542)&gt;1),1,0)</f>
        <v>0</v>
      </c>
      <c r="R542" s="97">
        <f>Singles!D$3</f>
        <v>1</v>
      </c>
      <c r="S542" s="95">
        <f>IF(AND(H542=H$2,LEN(H542)&gt;1,Q542=1),1,0)</f>
        <v>0</v>
      </c>
      <c r="T542" s="95" t="str">
        <f t="shared" ref="T542:T557" si="332">IF(V524=V542,"No","Winner")</f>
        <v>No</v>
      </c>
      <c r="U542" s="95" t="str">
        <f>IF(T542="Winner",IF(V542&gt;V524,B541,B523),"")</f>
        <v/>
      </c>
      <c r="V542" s="97">
        <f>VLOOKUP(1,X542:Y557,2,0)</f>
        <v>1</v>
      </c>
      <c r="W542" s="95">
        <v>1</v>
      </c>
      <c r="X542" s="95">
        <f t="shared" ref="X542:X557" si="333">R542</f>
        <v>1</v>
      </c>
      <c r="Y542" s="95">
        <f t="shared" ref="Y542:Y557" si="334">IF(Q542=1,IF(S542=1,4,3),IF(H542="2-1",2,1))</f>
        <v>1</v>
      </c>
      <c r="Z542" s="95">
        <f t="shared" ref="Z542:Z557" si="335">IF(AND($I$2=J542,B542=0),1,0)</f>
        <v>1</v>
      </c>
    </row>
    <row r="543" spans="1:26">
      <c r="A543" s="95">
        <v>2</v>
      </c>
      <c r="B543" s="95">
        <f>Singles!O114</f>
        <v>0</v>
      </c>
      <c r="C543" s="100" t="str">
        <f>IF(OR(LEFT(B543,LEN(B$3))=B$3,LEFT(B543,LEN(C$3))=C$3,LEN(B543)&lt;2),"","Wrong pick")</f>
        <v/>
      </c>
      <c r="G543" s="95" t="str">
        <f>IF(B543=0,"",IF(LEFT(B543,LEN(B$3))=B$3,B$3,C$3))</f>
        <v/>
      </c>
      <c r="H543" s="95" t="str">
        <f t="shared" si="325"/>
        <v>0-0</v>
      </c>
      <c r="J543" s="97">
        <f>Singles!H$4</f>
        <v>1</v>
      </c>
      <c r="K543" s="95" t="str">
        <f t="shared" si="326"/>
        <v>SR</v>
      </c>
      <c r="L543" s="95" t="str">
        <f t="shared" si="327"/>
        <v>0</v>
      </c>
      <c r="M543" s="95" t="str">
        <f t="shared" si="328"/>
        <v>0</v>
      </c>
      <c r="N543" s="95" t="str">
        <f t="shared" si="329"/>
        <v>0</v>
      </c>
      <c r="O543" s="95" t="str">
        <f t="shared" si="330"/>
        <v>0</v>
      </c>
      <c r="P543" s="95" t="str">
        <f t="shared" si="331"/>
        <v>0</v>
      </c>
      <c r="Q543" s="95">
        <f>IF(AND(G543=T$3,LEN(G543)&gt;1),1,0)</f>
        <v>0</v>
      </c>
      <c r="R543" s="97">
        <f>Singles!D$4</f>
        <v>2</v>
      </c>
      <c r="S543" s="95">
        <f>IF(AND(H543=H$3,LEN(H543)&gt;1,Q543=1),1,0)</f>
        <v>0</v>
      </c>
      <c r="T543" s="95" t="str">
        <f t="shared" si="332"/>
        <v>No</v>
      </c>
      <c r="U543" s="95" t="str">
        <f>IF(T543="Winner",IF(V543&gt;V525,B541,B523),"")</f>
        <v/>
      </c>
      <c r="V543" s="97">
        <f>VLOOKUP(2,X542:Y557,2,0)</f>
        <v>1</v>
      </c>
      <c r="W543" s="95">
        <v>2</v>
      </c>
      <c r="X543" s="95">
        <f t="shared" si="333"/>
        <v>2</v>
      </c>
      <c r="Y543" s="95">
        <f t="shared" si="334"/>
        <v>1</v>
      </c>
      <c r="Z543" s="95">
        <f t="shared" si="335"/>
        <v>1</v>
      </c>
    </row>
    <row r="544" spans="1:26">
      <c r="A544" s="95">
        <v>3</v>
      </c>
      <c r="B544" s="95">
        <f>Singles!O115</f>
        <v>0</v>
      </c>
      <c r="C544" s="100" t="str">
        <f>IF(OR(LEFT(B544,LEN(B$4))=B$4,LEFT(B544,LEN(C$4))=C$4,LEN(B544)&lt;2),"","Wrong pick")</f>
        <v/>
      </c>
      <c r="G544" s="95" t="str">
        <f>IF(B544=0,"",IF(LEFT(B544,LEN(B$4))=B$4,B$4,C$4))</f>
        <v/>
      </c>
      <c r="H544" s="95" t="str">
        <f t="shared" si="325"/>
        <v>0-0</v>
      </c>
      <c r="J544" s="97">
        <f>Singles!H$5</f>
        <v>1</v>
      </c>
      <c r="K544" s="95" t="str">
        <f t="shared" si="326"/>
        <v>SR</v>
      </c>
      <c r="L544" s="95" t="str">
        <f t="shared" si="327"/>
        <v>0</v>
      </c>
      <c r="M544" s="95" t="str">
        <f t="shared" si="328"/>
        <v>0</v>
      </c>
      <c r="N544" s="95" t="str">
        <f t="shared" si="329"/>
        <v>0</v>
      </c>
      <c r="O544" s="95" t="str">
        <f t="shared" si="330"/>
        <v>0</v>
      </c>
      <c r="P544" s="95" t="str">
        <f t="shared" si="331"/>
        <v>0</v>
      </c>
      <c r="Q544" s="95">
        <f>IF(AND(G544=T$4,LEN(G544)&gt;1),1,0)</f>
        <v>0</v>
      </c>
      <c r="R544" s="97">
        <f>Singles!D$5</f>
        <v>3</v>
      </c>
      <c r="S544" s="95">
        <f>IF(AND(H544=H$4,LEN(H544)&gt;1,Q544=1),1,0)</f>
        <v>0</v>
      </c>
      <c r="T544" s="95" t="str">
        <f t="shared" si="332"/>
        <v>No</v>
      </c>
      <c r="U544" s="95" t="str">
        <f>IF(T544="Winner",IF(V544&gt;V526,B541,B523),"")</f>
        <v/>
      </c>
      <c r="V544" s="97">
        <f>VLOOKUP(3,X542:Y557,2,0)</f>
        <v>1</v>
      </c>
      <c r="W544" s="95">
        <v>3</v>
      </c>
      <c r="X544" s="95">
        <f t="shared" si="333"/>
        <v>3</v>
      </c>
      <c r="Y544" s="95">
        <f t="shared" si="334"/>
        <v>1</v>
      </c>
      <c r="Z544" s="95">
        <f t="shared" si="335"/>
        <v>1</v>
      </c>
    </row>
    <row r="545" spans="1:26">
      <c r="A545" s="95">
        <v>4</v>
      </c>
      <c r="B545" s="95">
        <f>Singles!O116</f>
        <v>0</v>
      </c>
      <c r="C545" s="100" t="str">
        <f>IF(OR(LEFT(B545,LEN(B$5))=B$5,LEFT(B545,LEN(C$5))=C$5,LEN(B545)&lt;2),"","Wrong pick")</f>
        <v/>
      </c>
      <c r="G545" s="95" t="str">
        <f>IF(B545=0,"",IF(LEFT(B545,LEN(B$5))=B$5,B$5,C$5))</f>
        <v/>
      </c>
      <c r="H545" s="95" t="str">
        <f t="shared" si="325"/>
        <v>0-0</v>
      </c>
      <c r="J545" s="97">
        <f>Singles!H$6</f>
        <v>1</v>
      </c>
      <c r="K545" s="95" t="str">
        <f t="shared" si="326"/>
        <v>SR</v>
      </c>
      <c r="L545" s="95" t="str">
        <f t="shared" si="327"/>
        <v>0</v>
      </c>
      <c r="M545" s="95" t="str">
        <f t="shared" si="328"/>
        <v>0</v>
      </c>
      <c r="N545" s="95" t="str">
        <f t="shared" si="329"/>
        <v>0</v>
      </c>
      <c r="O545" s="95" t="str">
        <f t="shared" si="330"/>
        <v>0</v>
      </c>
      <c r="P545" s="95" t="str">
        <f t="shared" si="331"/>
        <v>0</v>
      </c>
      <c r="Q545" s="95">
        <f>IF(AND(G545=T$5,LEN(G545)&gt;1),1,0)</f>
        <v>0</v>
      </c>
      <c r="R545" s="97">
        <f>Singles!D$6</f>
        <v>4</v>
      </c>
      <c r="S545" s="95">
        <f>IF(AND(H545=H$5,LEN(H545)&gt;1,Q545=1),1,0)</f>
        <v>0</v>
      </c>
      <c r="T545" s="95" t="str">
        <f t="shared" si="332"/>
        <v>No</v>
      </c>
      <c r="U545" s="95" t="str">
        <f>IF(T545="Winner",IF(V545&gt;V527,B541,B523),"")</f>
        <v/>
      </c>
      <c r="V545" s="97">
        <f>VLOOKUP(4,X542:Y557,2,0)</f>
        <v>1</v>
      </c>
      <c r="W545" s="95">
        <v>4</v>
      </c>
      <c r="X545" s="95">
        <f t="shared" si="333"/>
        <v>4</v>
      </c>
      <c r="Y545" s="95">
        <f t="shared" si="334"/>
        <v>1</v>
      </c>
      <c r="Z545" s="95">
        <f t="shared" si="335"/>
        <v>1</v>
      </c>
    </row>
    <row r="546" spans="1:26">
      <c r="A546" s="95">
        <v>5</v>
      </c>
      <c r="B546" s="95">
        <f>Singles!O117</f>
        <v>0</v>
      </c>
      <c r="C546" s="100" t="str">
        <f>IF(OR(LEFT(B546,LEN(B$6))=B$6,LEFT(B546,LEN(C$6))=C$6,LEN(B546)&lt;2),"","Wrong pick")</f>
        <v/>
      </c>
      <c r="G546" s="95" t="str">
        <f>IF(B546=0,"",IF(LEFT(B546,LEN(B$6))=B$6,B$6,C$6))</f>
        <v/>
      </c>
      <c r="H546" s="95" t="str">
        <f t="shared" si="325"/>
        <v>0-0</v>
      </c>
      <c r="J546" s="97">
        <f>Singles!H$7</f>
        <v>1</v>
      </c>
      <c r="K546" s="95" t="str">
        <f t="shared" si="326"/>
        <v>SR</v>
      </c>
      <c r="L546" s="95" t="str">
        <f t="shared" si="327"/>
        <v>0</v>
      </c>
      <c r="M546" s="95" t="str">
        <f t="shared" si="328"/>
        <v>0</v>
      </c>
      <c r="N546" s="95" t="str">
        <f t="shared" si="329"/>
        <v>0</v>
      </c>
      <c r="O546" s="95" t="str">
        <f t="shared" si="330"/>
        <v>0</v>
      </c>
      <c r="P546" s="95" t="str">
        <f t="shared" si="331"/>
        <v>0</v>
      </c>
      <c r="Q546" s="95">
        <f>IF(AND(G546=T$6,LEN(G546)&gt;1),1,0)</f>
        <v>0</v>
      </c>
      <c r="R546" s="97">
        <f>Singles!D$7</f>
        <v>5</v>
      </c>
      <c r="S546" s="95">
        <f>IF(AND(H546=H$6,LEN(H546)&gt;1,Q546=1),1,0)</f>
        <v>0</v>
      </c>
      <c r="T546" s="95" t="str">
        <f t="shared" si="332"/>
        <v>No</v>
      </c>
      <c r="U546" s="95" t="str">
        <f>IF(T546="Winner",IF(V546&gt;V528,B541,B523),"")</f>
        <v/>
      </c>
      <c r="V546" s="97">
        <f>VLOOKUP(5,X542:Y557,2,0)</f>
        <v>1</v>
      </c>
      <c r="W546" s="95">
        <v>5</v>
      </c>
      <c r="X546" s="95">
        <f t="shared" si="333"/>
        <v>5</v>
      </c>
      <c r="Y546" s="95">
        <f t="shared" si="334"/>
        <v>1</v>
      </c>
      <c r="Z546" s="95">
        <f t="shared" si="335"/>
        <v>1</v>
      </c>
    </row>
    <row r="547" spans="1:26">
      <c r="A547" s="95">
        <v>6</v>
      </c>
      <c r="B547" s="95">
        <f>Singles!O118</f>
        <v>0</v>
      </c>
      <c r="C547" s="100" t="str">
        <f>IF(OR(LEFT(B547,LEN(B$7))=B$7,LEFT(B547,LEN(C$7))=C$7,LEN(B547)&lt;2),"","Wrong pick")</f>
        <v/>
      </c>
      <c r="G547" s="95" t="str">
        <f>IF(B547=0,"",IF(LEFT(B547,LEN(B$7))=B$7,B$7,C$7))</f>
        <v/>
      </c>
      <c r="H547" s="95" t="str">
        <f t="shared" si="325"/>
        <v>0-0</v>
      </c>
      <c r="J547" s="97">
        <f>Singles!H$8</f>
        <v>1</v>
      </c>
      <c r="K547" s="95" t="str">
        <f t="shared" si="326"/>
        <v>SR</v>
      </c>
      <c r="L547" s="95" t="str">
        <f t="shared" si="327"/>
        <v>0</v>
      </c>
      <c r="M547" s="95" t="str">
        <f t="shared" si="328"/>
        <v>0</v>
      </c>
      <c r="N547" s="95" t="str">
        <f t="shared" si="329"/>
        <v>0</v>
      </c>
      <c r="O547" s="95" t="str">
        <f t="shared" si="330"/>
        <v>0</v>
      </c>
      <c r="P547" s="95" t="str">
        <f t="shared" si="331"/>
        <v>0</v>
      </c>
      <c r="Q547" s="95">
        <f>IF(AND(G547=T$7,LEN(G547)&gt;1),1,0)</f>
        <v>0</v>
      </c>
      <c r="R547" s="97">
        <f>Singles!D$8</f>
        <v>6</v>
      </c>
      <c r="S547" s="95">
        <f>IF(AND(H547=H$7,LEN(H547)&gt;1,Q547=1),1,0)</f>
        <v>0</v>
      </c>
      <c r="T547" s="95" t="str">
        <f t="shared" si="332"/>
        <v>No</v>
      </c>
      <c r="U547" s="95" t="str">
        <f>IF(T547="Winner",IF(V547&gt;V529,B541,B523),"")</f>
        <v/>
      </c>
      <c r="V547" s="97">
        <f>VLOOKUP(6,X542:Y557,2,0)</f>
        <v>1</v>
      </c>
      <c r="W547" s="95">
        <v>6</v>
      </c>
      <c r="X547" s="95">
        <f t="shared" si="333"/>
        <v>6</v>
      </c>
      <c r="Y547" s="95">
        <f t="shared" si="334"/>
        <v>1</v>
      </c>
      <c r="Z547" s="95">
        <f t="shared" si="335"/>
        <v>1</v>
      </c>
    </row>
    <row r="548" spans="1:26">
      <c r="A548" s="95">
        <v>7</v>
      </c>
      <c r="B548" s="95">
        <f>Singles!O119</f>
        <v>0</v>
      </c>
      <c r="C548" s="100" t="str">
        <f>IF(OR(LEFT(B548,LEN(B$8))=B$8,LEFT(B548,LEN(C$8))=C$8,LEN(B548)&lt;2),"","Wrong pick")</f>
        <v/>
      </c>
      <c r="G548" s="95" t="str">
        <f>IF(B548=0,"",IF(LEFT(B548,LEN(B$8))=B$8,B$8,C$8))</f>
        <v/>
      </c>
      <c r="H548" s="95" t="str">
        <f t="shared" si="325"/>
        <v>0-0</v>
      </c>
      <c r="J548" s="97">
        <f>Singles!H$9</f>
        <v>1</v>
      </c>
      <c r="K548" s="95" t="str">
        <f t="shared" si="326"/>
        <v>SR</v>
      </c>
      <c r="L548" s="95" t="str">
        <f t="shared" si="327"/>
        <v>0</v>
      </c>
      <c r="M548" s="95" t="str">
        <f t="shared" si="328"/>
        <v>0</v>
      </c>
      <c r="N548" s="95" t="str">
        <f t="shared" si="329"/>
        <v>0</v>
      </c>
      <c r="O548" s="95" t="str">
        <f t="shared" si="330"/>
        <v>0</v>
      </c>
      <c r="P548" s="95" t="str">
        <f t="shared" si="331"/>
        <v>0</v>
      </c>
      <c r="Q548" s="95">
        <f>IF(AND(G548=T$8,LEN(G548)&gt;1),1,0)</f>
        <v>0</v>
      </c>
      <c r="R548" s="97">
        <f>Singles!D$9</f>
        <v>7</v>
      </c>
      <c r="S548" s="95">
        <f>IF(AND(H548=H$8,LEN(H548)&gt;1,Q548=1),1,0)</f>
        <v>0</v>
      </c>
      <c r="T548" s="95" t="str">
        <f t="shared" si="332"/>
        <v>No</v>
      </c>
      <c r="U548" s="95" t="str">
        <f>IF(T548="Winner",IF(V548&gt;V530,B541,B523),"")</f>
        <v/>
      </c>
      <c r="V548" s="97">
        <f>VLOOKUP(7,X542:Y557,2,0)</f>
        <v>1</v>
      </c>
      <c r="W548" s="95">
        <v>7</v>
      </c>
      <c r="X548" s="95">
        <f t="shared" si="333"/>
        <v>7</v>
      </c>
      <c r="Y548" s="95">
        <f t="shared" si="334"/>
        <v>1</v>
      </c>
      <c r="Z548" s="95">
        <f t="shared" si="335"/>
        <v>1</v>
      </c>
    </row>
    <row r="549" spans="1:26">
      <c r="A549" s="95">
        <v>8</v>
      </c>
      <c r="B549" s="95">
        <f>Singles!O120</f>
        <v>0</v>
      </c>
      <c r="C549" s="100" t="str">
        <f>IF(OR(LEFT(B549,LEN(B$9))=B$9,LEFT(B549,LEN(C$9))=C$9,LEN(B549)&lt;2),"","Wrong pick")</f>
        <v/>
      </c>
      <c r="G549" s="95" t="str">
        <f>IF(B549=0,"",IF(LEFT(B549,LEN(B$9))=B$9,B$9,C$9))</f>
        <v/>
      </c>
      <c r="H549" s="95" t="str">
        <f t="shared" si="325"/>
        <v>0-0</v>
      </c>
      <c r="J549" s="97">
        <f>Singles!H$10</f>
        <v>1</v>
      </c>
      <c r="K549" s="95" t="str">
        <f t="shared" si="326"/>
        <v>SR</v>
      </c>
      <c r="L549" s="95" t="str">
        <f t="shared" si="327"/>
        <v>0</v>
      </c>
      <c r="M549" s="95" t="str">
        <f t="shared" si="328"/>
        <v>0</v>
      </c>
      <c r="N549" s="95" t="str">
        <f t="shared" si="329"/>
        <v>0</v>
      </c>
      <c r="O549" s="95" t="str">
        <f t="shared" si="330"/>
        <v>0</v>
      </c>
      <c r="P549" s="95" t="str">
        <f t="shared" si="331"/>
        <v>0</v>
      </c>
      <c r="Q549" s="95">
        <f>IF(AND(G549=T$9,LEN(G549)&gt;1),1,0)</f>
        <v>0</v>
      </c>
      <c r="R549" s="97">
        <f>Singles!D$10</f>
        <v>8</v>
      </c>
      <c r="S549" s="95">
        <f>IF(AND(H549=H$9,LEN(H549)&gt;1,Q549=1),1,0)</f>
        <v>0</v>
      </c>
      <c r="T549" s="95" t="str">
        <f t="shared" si="332"/>
        <v>No</v>
      </c>
      <c r="U549" s="95" t="str">
        <f>IF(T549="Winner",IF(V549&gt;V531,B541,B523),"")</f>
        <v/>
      </c>
      <c r="V549" s="97">
        <f>VLOOKUP(8,X542:Y557,2,0)</f>
        <v>1</v>
      </c>
      <c r="W549" s="95">
        <v>8</v>
      </c>
      <c r="X549" s="95">
        <f t="shared" si="333"/>
        <v>8</v>
      </c>
      <c r="Y549" s="95">
        <f t="shared" si="334"/>
        <v>1</v>
      </c>
      <c r="Z549" s="95">
        <f t="shared" si="335"/>
        <v>1</v>
      </c>
    </row>
    <row r="550" spans="1:26">
      <c r="A550" s="95">
        <v>9</v>
      </c>
      <c r="B550" s="95">
        <f>Singles!O121</f>
        <v>0</v>
      </c>
      <c r="C550" s="100" t="str">
        <f>IF(OR(LEFT(B550,LEN(B$10))=B$10,LEFT(B550,LEN(C$10))=C$10,LEN(B550)&lt;2),"","Wrong pick")</f>
        <v/>
      </c>
      <c r="G550" s="95" t="str">
        <f>IF(B550=0,"",IF(LEFT(B550,LEN(B$10))=B$10,B$10,C$10))</f>
        <v/>
      </c>
      <c r="H550" s="95" t="str">
        <f t="shared" si="325"/>
        <v>0-0</v>
      </c>
      <c r="J550" s="97">
        <f>Singles!H$11</f>
        <v>1</v>
      </c>
      <c r="K550" s="95" t="str">
        <f t="shared" si="326"/>
        <v>SR</v>
      </c>
      <c r="L550" s="95" t="str">
        <f t="shared" si="327"/>
        <v>0</v>
      </c>
      <c r="M550" s="95" t="str">
        <f t="shared" si="328"/>
        <v>0</v>
      </c>
      <c r="N550" s="95" t="str">
        <f t="shared" si="329"/>
        <v>0</v>
      </c>
      <c r="O550" s="95" t="str">
        <f t="shared" si="330"/>
        <v>0</v>
      </c>
      <c r="P550" s="95" t="str">
        <f t="shared" si="331"/>
        <v>0</v>
      </c>
      <c r="Q550" s="95">
        <f>IF(AND(G550=T$10,LEN(G550)&gt;1),1,0)</f>
        <v>0</v>
      </c>
      <c r="R550" s="97">
        <f>Singles!D$11</f>
        <v>9</v>
      </c>
      <c r="S550" s="95">
        <f>IF(AND(H550=H$10,LEN(H550)&gt;1,Q550=1),1,0)</f>
        <v>0</v>
      </c>
      <c r="T550" s="95" t="str">
        <f t="shared" si="332"/>
        <v>No</v>
      </c>
      <c r="U550" s="95" t="str">
        <f>IF(T550="Winner",IF(V550&gt;V532,B541,B523),"")</f>
        <v/>
      </c>
      <c r="V550" s="97">
        <f>VLOOKUP(9,X542:Y557,2,0)</f>
        <v>1</v>
      </c>
      <c r="W550" s="95">
        <v>9</v>
      </c>
      <c r="X550" s="95">
        <f t="shared" si="333"/>
        <v>9</v>
      </c>
      <c r="Y550" s="95">
        <f t="shared" si="334"/>
        <v>1</v>
      </c>
      <c r="Z550" s="95">
        <f t="shared" si="335"/>
        <v>1</v>
      </c>
    </row>
    <row r="551" spans="1:26">
      <c r="A551" s="95">
        <v>10</v>
      </c>
      <c r="B551" s="95">
        <f>Singles!O122</f>
        <v>0</v>
      </c>
      <c r="C551" s="100" t="str">
        <f>IF(OR(LEFT(B551,LEN(B$11))=B$11,LEFT(B551,LEN(C$11))=C$11,LEN(B551)&lt;2),"","Wrong pick")</f>
        <v/>
      </c>
      <c r="G551" s="95" t="str">
        <f>IF(B551=0,"",IF(LEFT(B551,LEN(B$11))=B$11,B$11,C$11))</f>
        <v/>
      </c>
      <c r="H551" s="95" t="str">
        <f t="shared" si="325"/>
        <v>0-0</v>
      </c>
      <c r="J551" s="97">
        <f>Singles!H$12</f>
        <v>1</v>
      </c>
      <c r="K551" s="95" t="str">
        <f t="shared" si="326"/>
        <v>SR</v>
      </c>
      <c r="L551" s="95" t="str">
        <f t="shared" si="327"/>
        <v>0</v>
      </c>
      <c r="M551" s="95" t="str">
        <f t="shared" si="328"/>
        <v>0</v>
      </c>
      <c r="N551" s="95" t="str">
        <f t="shared" si="329"/>
        <v>0</v>
      </c>
      <c r="O551" s="95" t="str">
        <f t="shared" si="330"/>
        <v>0</v>
      </c>
      <c r="P551" s="95" t="str">
        <f t="shared" si="331"/>
        <v>0</v>
      </c>
      <c r="Q551" s="95">
        <f>IF(AND(G551=T$11,LEN(G551)&gt;1),1,0)</f>
        <v>0</v>
      </c>
      <c r="R551" s="97">
        <f>Singles!D$12</f>
        <v>10</v>
      </c>
      <c r="S551" s="95">
        <f>IF(AND(H551=H$11,LEN(H551)&gt;1,Q551=1),1,0)</f>
        <v>0</v>
      </c>
      <c r="T551" s="95" t="str">
        <f t="shared" si="332"/>
        <v>No</v>
      </c>
      <c r="U551" s="95" t="str">
        <f>IF(T551="Winner",IF(V551&gt;V533,B541,B523),"")</f>
        <v/>
      </c>
      <c r="V551" s="97">
        <f>VLOOKUP(10,X542:Y557,2,0)</f>
        <v>1</v>
      </c>
      <c r="W551" s="95">
        <v>10</v>
      </c>
      <c r="X551" s="95">
        <f t="shared" si="333"/>
        <v>10</v>
      </c>
      <c r="Y551" s="95">
        <f t="shared" si="334"/>
        <v>1</v>
      </c>
      <c r="Z551" s="95">
        <f t="shared" si="335"/>
        <v>1</v>
      </c>
    </row>
    <row r="552" spans="1:26">
      <c r="A552" s="95">
        <v>11</v>
      </c>
      <c r="B552" s="95">
        <f>Singles!O123</f>
        <v>0</v>
      </c>
      <c r="C552" s="100" t="str">
        <f>IF(OR(LEFT(B552,LEN(B$12))=B$12,LEFT(B552,LEN(C$12))=C$12,LEN(B552)&lt;2),"","Wrong pick")</f>
        <v/>
      </c>
      <c r="G552" s="95" t="str">
        <f>IF(B552=0,"",IF(LEFT(B552,LEN(B$12))=B$12,B$12,C$12))</f>
        <v/>
      </c>
      <c r="H552" s="95" t="str">
        <f t="shared" si="325"/>
        <v>0-0</v>
      </c>
      <c r="J552" s="97">
        <f>Singles!H$13</f>
        <v>1</v>
      </c>
      <c r="K552" s="95" t="str">
        <f t="shared" si="326"/>
        <v>SR</v>
      </c>
      <c r="L552" s="95" t="str">
        <f t="shared" si="327"/>
        <v>0</v>
      </c>
      <c r="M552" s="95" t="str">
        <f t="shared" si="328"/>
        <v>0</v>
      </c>
      <c r="N552" s="95" t="str">
        <f t="shared" si="329"/>
        <v>0</v>
      </c>
      <c r="O552" s="95" t="str">
        <f t="shared" si="330"/>
        <v>0</v>
      </c>
      <c r="P552" s="95" t="str">
        <f t="shared" si="331"/>
        <v>0</v>
      </c>
      <c r="Q552" s="95">
        <f>IF(AND(G552=T$12,LEN(G552)&gt;1),1,0)</f>
        <v>0</v>
      </c>
      <c r="R552" s="97">
        <f>Singles!D$13</f>
        <v>11</v>
      </c>
      <c r="S552" s="95">
        <f>IF(AND(H552=H$12,LEN(H552)&gt;1,Q552=1),1,0)</f>
        <v>0</v>
      </c>
      <c r="T552" s="95" t="str">
        <f t="shared" si="332"/>
        <v>No</v>
      </c>
      <c r="U552" s="95" t="str">
        <f>IF(T552="Winner",IF(V552&gt;V534,B541,B523),"")</f>
        <v/>
      </c>
      <c r="V552" s="97">
        <f>VLOOKUP(11,X542:Y557,2,0)</f>
        <v>1</v>
      </c>
      <c r="W552" s="95">
        <v>11</v>
      </c>
      <c r="X552" s="95">
        <f t="shared" si="333"/>
        <v>11</v>
      </c>
      <c r="Y552" s="95">
        <f t="shared" si="334"/>
        <v>1</v>
      </c>
      <c r="Z552" s="95">
        <f t="shared" si="335"/>
        <v>1</v>
      </c>
    </row>
    <row r="553" spans="1:26">
      <c r="A553" s="95">
        <v>12</v>
      </c>
      <c r="B553" s="95">
        <f>Singles!O124</f>
        <v>0</v>
      </c>
      <c r="C553" s="100" t="str">
        <f>IF(OR(LEFT(B553,LEN(B$13))=B$13,LEFT(B553,LEN(C$13))=C$13,LEN(B553)&lt;2),"","Wrong pick")</f>
        <v/>
      </c>
      <c r="G553" s="95" t="str">
        <f>IF(B553=0,"",IF(LEFT(B553,LEN(B$13))=B$13,B$13,C$13))</f>
        <v/>
      </c>
      <c r="H553" s="95" t="str">
        <f t="shared" si="325"/>
        <v>0-0</v>
      </c>
      <c r="J553" s="97">
        <f>Singles!H$14</f>
        <v>1</v>
      </c>
      <c r="K553" s="95" t="str">
        <f t="shared" si="326"/>
        <v>SR</v>
      </c>
      <c r="L553" s="95" t="str">
        <f t="shared" si="327"/>
        <v>0</v>
      </c>
      <c r="M553" s="95" t="str">
        <f t="shared" si="328"/>
        <v>0</v>
      </c>
      <c r="N553" s="95" t="str">
        <f t="shared" si="329"/>
        <v>0</v>
      </c>
      <c r="O553" s="95" t="str">
        <f t="shared" si="330"/>
        <v>0</v>
      </c>
      <c r="P553" s="95" t="str">
        <f t="shared" si="331"/>
        <v>0</v>
      </c>
      <c r="Q553" s="95">
        <f>IF(AND(G553=T$13,LEN(G553)&gt;1),1,0)</f>
        <v>0</v>
      </c>
      <c r="R553" s="97">
        <f>Singles!D$14</f>
        <v>12</v>
      </c>
      <c r="S553" s="95">
        <f>IF(AND(H553=H$13,LEN(H553)&gt;1,Q553=1),1,0)</f>
        <v>0</v>
      </c>
      <c r="T553" s="95" t="str">
        <f t="shared" si="332"/>
        <v>No</v>
      </c>
      <c r="U553" s="95" t="str">
        <f>IF(T553="Winner",IF(V553&gt;V535,B541,B523),"")</f>
        <v/>
      </c>
      <c r="V553" s="97">
        <f>VLOOKUP(12,X542:Y557,2,0)</f>
        <v>1</v>
      </c>
      <c r="W553" s="95">
        <v>12</v>
      </c>
      <c r="X553" s="95">
        <f t="shared" si="333"/>
        <v>12</v>
      </c>
      <c r="Y553" s="95">
        <f t="shared" si="334"/>
        <v>1</v>
      </c>
      <c r="Z553" s="95">
        <f t="shared" si="335"/>
        <v>1</v>
      </c>
    </row>
    <row r="554" spans="1:26">
      <c r="A554" s="95">
        <v>13</v>
      </c>
      <c r="B554" s="95">
        <f>Singles!O125</f>
        <v>0</v>
      </c>
      <c r="C554" s="100" t="str">
        <f>IF(OR(LEFT(B554,LEN(B$14))=B$14,LEFT(B554,LEN(C$14))=C$14,LEN(B554)&lt;2),"","Wrong pick")</f>
        <v/>
      </c>
      <c r="G554" s="95" t="str">
        <f>IF(B554=0,"",IF(LEFT(B554,LEN(B$14))=B$14,B$14,C$14))</f>
        <v/>
      </c>
      <c r="H554" s="95" t="str">
        <f t="shared" si="325"/>
        <v>0-0</v>
      </c>
      <c r="J554" s="97">
        <f>Singles!H$15</f>
        <v>1</v>
      </c>
      <c r="K554" s="95" t="str">
        <f t="shared" si="326"/>
        <v>SR</v>
      </c>
      <c r="L554" s="95" t="str">
        <f t="shared" si="327"/>
        <v>0</v>
      </c>
      <c r="M554" s="95" t="str">
        <f t="shared" si="328"/>
        <v>0</v>
      </c>
      <c r="N554" s="95" t="str">
        <f t="shared" si="329"/>
        <v>0</v>
      </c>
      <c r="O554" s="95" t="str">
        <f t="shared" si="330"/>
        <v>0</v>
      </c>
      <c r="P554" s="95" t="str">
        <f t="shared" si="331"/>
        <v>0</v>
      </c>
      <c r="Q554" s="95">
        <f>IF(AND(G554=T$14,LEN(G554)&gt;1),1,0)</f>
        <v>0</v>
      </c>
      <c r="R554" s="97">
        <f>Singles!D$15</f>
        <v>13</v>
      </c>
      <c r="S554" s="95">
        <f>IF(AND(H554=H$14,LEN(H554)&gt;1,Q554=1),1,0)</f>
        <v>0</v>
      </c>
      <c r="T554" s="95" t="str">
        <f t="shared" si="332"/>
        <v>No</v>
      </c>
      <c r="U554" s="95" t="str">
        <f>IF(T554="Winner",IF(V554&gt;V536,B541,B523),"")</f>
        <v/>
      </c>
      <c r="V554" s="97">
        <f>VLOOKUP(13,X542:Y557,2,0)</f>
        <v>1</v>
      </c>
      <c r="W554" s="95">
        <v>13</v>
      </c>
      <c r="X554" s="95">
        <f t="shared" si="333"/>
        <v>13</v>
      </c>
      <c r="Y554" s="95">
        <f t="shared" si="334"/>
        <v>1</v>
      </c>
      <c r="Z554" s="95">
        <f t="shared" si="335"/>
        <v>1</v>
      </c>
    </row>
    <row r="555" spans="1:26">
      <c r="A555" s="95">
        <v>14</v>
      </c>
      <c r="B555" s="95">
        <f>Singles!O126</f>
        <v>0</v>
      </c>
      <c r="C555" s="100" t="str">
        <f>IF(OR(LEFT(B555,LEN(B$15))=B$15,LEFT(B555,LEN(C$15))=C$15,LEN(B555)&lt;2),"","Wrong pick")</f>
        <v/>
      </c>
      <c r="G555" s="95" t="str">
        <f>IF(B555=0,"",IF(LEFT(B555,LEN(B$15))=B$15,B$15,C$15))</f>
        <v/>
      </c>
      <c r="H555" s="95" t="str">
        <f t="shared" si="325"/>
        <v>0-0</v>
      </c>
      <c r="J555" s="97">
        <f>Singles!H$16</f>
        <v>1</v>
      </c>
      <c r="K555" s="95" t="str">
        <f t="shared" si="326"/>
        <v>SR</v>
      </c>
      <c r="L555" s="95" t="str">
        <f t="shared" si="327"/>
        <v>0</v>
      </c>
      <c r="M555" s="95" t="str">
        <f t="shared" si="328"/>
        <v>0</v>
      </c>
      <c r="N555" s="95" t="str">
        <f t="shared" si="329"/>
        <v>0</v>
      </c>
      <c r="O555" s="95" t="str">
        <f t="shared" si="330"/>
        <v>0</v>
      </c>
      <c r="P555" s="95" t="str">
        <f t="shared" si="331"/>
        <v>0</v>
      </c>
      <c r="Q555" s="95">
        <f>IF(AND(G555=T$15,LEN(G555)&gt;1),1,0)</f>
        <v>0</v>
      </c>
      <c r="R555" s="97">
        <f>Singles!D$16</f>
        <v>14</v>
      </c>
      <c r="S555" s="95">
        <f>IF(AND(H555=H$15,LEN(H555)&gt;1,Q555=1),1,0)</f>
        <v>0</v>
      </c>
      <c r="T555" s="95" t="str">
        <f t="shared" si="332"/>
        <v>No</v>
      </c>
      <c r="U555" s="95" t="str">
        <f>IF(T555="Winner",IF(V555&gt;V537,B541,B523),"")</f>
        <v/>
      </c>
      <c r="V555" s="97">
        <f>VLOOKUP(14,X542:Y557,2,0)</f>
        <v>1</v>
      </c>
      <c r="W555" s="95">
        <v>14</v>
      </c>
      <c r="X555" s="95">
        <f t="shared" si="333"/>
        <v>14</v>
      </c>
      <c r="Y555" s="95">
        <f t="shared" si="334"/>
        <v>1</v>
      </c>
      <c r="Z555" s="95">
        <f t="shared" si="335"/>
        <v>1</v>
      </c>
    </row>
    <row r="556" spans="1:26">
      <c r="A556" s="95">
        <v>15</v>
      </c>
      <c r="B556" s="95">
        <f>Singles!O127</f>
        <v>0</v>
      </c>
      <c r="C556" s="100" t="str">
        <f>IF(OR(LEFT(B556,LEN(B$16))=B$16,LEFT(B556,LEN(C$16))=C$16,LEN(B556)&lt;2),"","Wrong pick")</f>
        <v/>
      </c>
      <c r="G556" s="95" t="str">
        <f>IF(B556=0,"",IF(LEFT(B556,LEN(B$16))=B$16,B$16,C$16))</f>
        <v/>
      </c>
      <c r="H556" s="95" t="str">
        <f t="shared" si="325"/>
        <v>0-0</v>
      </c>
      <c r="J556" s="97">
        <f>Singles!H$17</f>
        <v>1</v>
      </c>
      <c r="K556" s="95" t="str">
        <f t="shared" si="326"/>
        <v>SR</v>
      </c>
      <c r="L556" s="95" t="str">
        <f t="shared" si="327"/>
        <v>0</v>
      </c>
      <c r="M556" s="95" t="str">
        <f t="shared" si="328"/>
        <v>0</v>
      </c>
      <c r="N556" s="95" t="str">
        <f t="shared" si="329"/>
        <v>0</v>
      </c>
      <c r="O556" s="95" t="str">
        <f t="shared" si="330"/>
        <v>0</v>
      </c>
      <c r="P556" s="95" t="str">
        <f t="shared" si="331"/>
        <v>0</v>
      </c>
      <c r="Q556" s="95">
        <f>IF(AND(G556=T$16,LEN(G556)&gt;1),1,0)</f>
        <v>0</v>
      </c>
      <c r="R556" s="97">
        <f>Singles!D$17</f>
        <v>15</v>
      </c>
      <c r="S556" s="95">
        <f>IF(AND(H556=H$16,LEN(H556)&gt;1,Q556=1),1,0)</f>
        <v>0</v>
      </c>
      <c r="T556" s="95" t="str">
        <f t="shared" si="332"/>
        <v>No</v>
      </c>
      <c r="U556" s="95" t="str">
        <f>IF(T556="Winner",IF(V556&gt;V538,B541,B523),"")</f>
        <v/>
      </c>
      <c r="V556" s="97">
        <f>VLOOKUP(15,X542:Y557,2,0)</f>
        <v>1</v>
      </c>
      <c r="W556" s="95">
        <v>15</v>
      </c>
      <c r="X556" s="95">
        <f t="shared" si="333"/>
        <v>15</v>
      </c>
      <c r="Y556" s="95">
        <f t="shared" si="334"/>
        <v>1</v>
      </c>
      <c r="Z556" s="95">
        <f t="shared" si="335"/>
        <v>1</v>
      </c>
    </row>
    <row r="557" spans="1:26">
      <c r="A557" s="95">
        <v>16</v>
      </c>
      <c r="B557" s="95">
        <f>Singles!O128</f>
        <v>0</v>
      </c>
      <c r="C557" s="100" t="str">
        <f>IF(OR(LEFT(B557,LEN(B$17))=B$17,LEFT(B557,LEN(C$17))=C$17,LEN(B557)&lt;2),"","Wrong pick")</f>
        <v/>
      </c>
      <c r="G557" s="95" t="str">
        <f>IF(B557=0,"",IF(LEFT(B557,LEN(B$17))=B$17,B$17,C$17))</f>
        <v/>
      </c>
      <c r="H557" s="95" t="str">
        <f t="shared" si="325"/>
        <v>0-0</v>
      </c>
      <c r="J557" s="97">
        <f>Singles!H$18</f>
        <v>1</v>
      </c>
      <c r="K557" s="95" t="str">
        <f t="shared" si="326"/>
        <v>SR</v>
      </c>
      <c r="L557" s="95" t="str">
        <f t="shared" si="327"/>
        <v>0</v>
      </c>
      <c r="M557" s="95" t="str">
        <f t="shared" si="328"/>
        <v>0</v>
      </c>
      <c r="N557" s="95" t="str">
        <f t="shared" si="329"/>
        <v>0</v>
      </c>
      <c r="O557" s="95" t="str">
        <f t="shared" si="330"/>
        <v>0</v>
      </c>
      <c r="P557" s="95" t="str">
        <f t="shared" si="331"/>
        <v>0</v>
      </c>
      <c r="Q557" s="95">
        <f>IF(AND(G557=T$17,LEN(G557)&gt;1),1,0)</f>
        <v>0</v>
      </c>
      <c r="R557" s="97">
        <f>Singles!D$18</f>
        <v>16</v>
      </c>
      <c r="S557" s="95">
        <f>IF(AND(H557=H$17,LEN(H557)&gt;1,Q557=1),1,0)</f>
        <v>0</v>
      </c>
      <c r="T557" s="95" t="str">
        <f t="shared" si="332"/>
        <v>No</v>
      </c>
      <c r="U557" s="95" t="str">
        <f>IF(T557="Winner",IF(V557&gt;V539,B541,B523),"")</f>
        <v/>
      </c>
      <c r="V557" s="97">
        <f>VLOOKUP(16,X542:Y557,2,0)</f>
        <v>1</v>
      </c>
      <c r="W557" s="95">
        <v>16</v>
      </c>
      <c r="X557" s="95">
        <f t="shared" si="333"/>
        <v>16</v>
      </c>
      <c r="Y557" s="95">
        <f t="shared" si="334"/>
        <v>1</v>
      </c>
      <c r="Z557" s="95">
        <f t="shared" si="335"/>
        <v>1</v>
      </c>
    </row>
    <row r="558" spans="1:26">
      <c r="T558" s="95" t="s">
        <v>89</v>
      </c>
      <c r="U558" s="95" t="s">
        <v>125</v>
      </c>
      <c r="W558" s="95">
        <v>17</v>
      </c>
    </row>
    <row r="559" spans="1:26">
      <c r="A559" s="95" t="e">
        <f>IF(LEN(VLOOKUP(B559,Singles!$A$2:$B$33,2,0))&gt;0,VLOOKUP(B559,Singles!$A$2:$B$33,2,0),"")</f>
        <v>#N/A</v>
      </c>
      <c r="B559" s="96">
        <f>Singles!P112</f>
        <v>0</v>
      </c>
      <c r="C559" s="96">
        <v>31</v>
      </c>
      <c r="D559" s="95" t="e">
        <f>VLOOKUP(B559,Singles!$A$2:$C$33,3,0)</f>
        <v>#N/A</v>
      </c>
      <c r="J559" s="95" t="s">
        <v>88</v>
      </c>
      <c r="Q559" s="95" t="s">
        <v>121</v>
      </c>
      <c r="S559" s="95" t="s">
        <v>122</v>
      </c>
      <c r="T559" s="95" t="e">
        <f>IF(LEN(A559)&gt;0,"("&amp;A559&amp;") "&amp;B559,B559)&amp;IF(LEN(D559)&gt;1," ("&amp;D559&amp;")","")</f>
        <v>#N/A</v>
      </c>
      <c r="V559" s="95" t="s">
        <v>123</v>
      </c>
      <c r="Y559" s="95" t="s">
        <v>123</v>
      </c>
    </row>
    <row r="560" spans="1:26">
      <c r="A560" s="95">
        <v>1</v>
      </c>
      <c r="B560" s="95">
        <f>Singles!P113</f>
        <v>0</v>
      </c>
      <c r="C560" s="99" t="str">
        <f>IF(OR(LEFT(B560,LEN(B$2))=B$2,LEFT(B560,LEN(C$2))=C$2,LEN(B560)&lt;2),"","Wrong pick")</f>
        <v/>
      </c>
      <c r="D560" s="95">
        <f t="shared" ref="D560:D575" ca="1" si="336">IF(OR(G560=G578,INDIRECT(ADDRESS(A560+1,6,1))&gt;0),0,1)</f>
        <v>0</v>
      </c>
      <c r="E560" s="95" t="str">
        <f ca="1">IF(AND(D560=1,J560=$I$2),G560&amp;", ","")&amp;IF(AND(D561=1,J561=$I$2),G561&amp;", ","")&amp;IF(AND(D562=1,J562=$I$2),G562&amp;", ","")&amp;IF(AND(D563=1,J563=$I$2),G563&amp;", ","")&amp;IF(AND(D564=1,J564=$I$2),G564&amp;", ","")&amp;IF(AND(D565=1,J565=$I$2),G565&amp;", ","")&amp;IF(AND(D566=1,J566=$I$2),G566&amp;", ","")&amp;IF(AND(D567=1,J567=$I$2),G567&amp;", ","")&amp;IF(AND(D568=1,J568=$I$2),G568&amp;", ","")&amp;IF(AND(D569=1,J569=$I$2),G569&amp;", ","")&amp;IF(AND(D570=1,J570=$I$2),G570&amp;", ","")&amp;IF(AND(D571=1,J571=$I$2),G571&amp;", ","")&amp;IF(AND(D572=1,J572=$I$2),G572&amp;", ","")&amp;IF(AND(D573=1,J573=$I$2),G573&amp;", ","")&amp;IF(AND(D574=1,J574=$I$2),G574&amp;", ","")&amp;IF(AND(D575=1,J575=$I$2),G575&amp;", ","")</f>
        <v/>
      </c>
      <c r="F560" s="95" t="str">
        <f>IF(AND(SUM(Z560:Z575)=$I$4,NOT(B559="Bye")),"Missing picks from "&amp;B559&amp;" ","")</f>
        <v xml:space="preserve">Missing picks from 0 </v>
      </c>
      <c r="G560" s="95" t="str">
        <f>IF(B560=0,"",IF(LEFT(B560,LEN(B$2))=B$2,B$2,C$2))</f>
        <v/>
      </c>
      <c r="H560" s="95" t="str">
        <f t="shared" ref="H560:H575" si="337">IF(L560="","",IF(K560="PTS",IF(LEN(O560)&lt;8,"2-0","2-1"),LEFT(O560,1)&amp;"-"&amp;RIGHT(O560,1)))</f>
        <v>0-0</v>
      </c>
      <c r="I560" s="95" t="str">
        <f ca="1">IF(AND(J560=Singles!$H$21,INDIRECT(ADDRESS(A560+1,6,1))=0,NOT(INDIRECT(ADDRESS(A560+1,5,1))="")),IF(D560=0,IF(H560=H578,"",G560&amp;" "&amp;H560&amp;" v "&amp;H578&amp;", "),G560&amp;" "&amp;H560&amp;" vs. "&amp;G578&amp;" "&amp;H578&amp;", "),"")</f>
        <v/>
      </c>
      <c r="J560" s="97">
        <f>Singles!H$3</f>
        <v>1</v>
      </c>
      <c r="K560" s="95" t="str">
        <f t="shared" ref="K560:K575" si="338">IF(LEN(L560)&gt;0,IF(LEN(O560)&lt;4,"SR","PTS"),"")</f>
        <v>SR</v>
      </c>
      <c r="L560" s="95" t="str">
        <f t="shared" ref="L560:L575" si="339">TRIM(RIGHT(B560,LEN(B560)-LEN(G560)))</f>
        <v>0</v>
      </c>
      <c r="M560" s="95" t="str">
        <f t="shared" ref="M560:M575" si="340">SUBSTITUTE(L560,"-","")</f>
        <v>0</v>
      </c>
      <c r="N560" s="95" t="str">
        <f t="shared" ref="N560:N575" si="341">SUBSTITUTE(M560,","," ")</f>
        <v>0</v>
      </c>
      <c r="O560" s="95" t="str">
        <f t="shared" ref="O560:O575" si="342">IF(AND(LEN(TRIM(SUBSTITUTE(P560,"/","")))&gt;6,OR(LEFT(TRIM(SUBSTITUTE(P560,"/","")),2)="20",LEFT(TRIM(SUBSTITUTE(P560,"/","")),2)="21")),RIGHT(TRIM(SUBSTITUTE(P560,"/","")),LEN(TRIM(SUBSTITUTE(P560,"/","")))-3),TRIM(SUBSTITUTE(P560,"/","")))</f>
        <v>0</v>
      </c>
      <c r="P560" s="95" t="str">
        <f t="shared" ref="P560:P575" si="343">SUBSTITUTE(N560,":","")</f>
        <v>0</v>
      </c>
      <c r="Q560" s="95">
        <f>IF(AND(G560=T$2,LEN(G560)&gt;1),1,0)</f>
        <v>0</v>
      </c>
      <c r="R560" s="97">
        <f>Singles!D$3</f>
        <v>1</v>
      </c>
      <c r="S560" s="95">
        <f>IF(AND(H560=H$2,LEN(H560)&gt;1,Q560=1),1,0)</f>
        <v>0</v>
      </c>
      <c r="T560" s="95" t="str">
        <f ca="1">" SR Differences: "&amp;IF(LEN(I560&amp;I561&amp;I562&amp;I563&amp;I564&amp;I565&amp;I566&amp;I567&amp;I568&amp;I569&amp;I570&amp;I571&amp;I572&amp;I573&amp;I574&amp;I575)&lt;3,"None..",I560&amp;I561&amp;I562&amp;I563&amp;I564&amp;I565&amp;I566&amp;I567&amp;I568&amp;I569&amp;I570&amp;I571&amp;I572&amp;I573&amp;I574&amp;I575)</f>
        <v xml:space="preserve"> SR Differences: None..</v>
      </c>
      <c r="V560" s="97">
        <f>VLOOKUP(1,X560:Y575,2,0)</f>
        <v>1</v>
      </c>
      <c r="X560" s="95">
        <f t="shared" ref="X560:X575" si="344">R560</f>
        <v>1</v>
      </c>
      <c r="Y560" s="95">
        <f t="shared" ref="Y560:Y575" si="345">IF(Q560=1,IF(S560=1,4,3),IF(H560="2-1",2,1))</f>
        <v>1</v>
      </c>
      <c r="Z560" s="95">
        <f t="shared" ref="Z560:Z575" si="346">IF(AND($I$2=J560,B560=0),1,0)</f>
        <v>1</v>
      </c>
    </row>
    <row r="561" spans="1:26">
      <c r="A561" s="95">
        <v>2</v>
      </c>
      <c r="B561" s="95">
        <f>Singles!P114</f>
        <v>0</v>
      </c>
      <c r="C561" s="100" t="str">
        <f>IF(OR(LEFT(B561,LEN(B$3))=B$3,LEFT(B561,LEN(C$3))=C$3,LEN(B561)&lt;2),"","Wrong pick")</f>
        <v/>
      </c>
      <c r="D561" s="95">
        <f t="shared" ca="1" si="336"/>
        <v>0</v>
      </c>
      <c r="G561" s="95" t="str">
        <f>IF(B561=0,"",IF(LEFT(B561,LEN(B$3))=B$3,B$3,C$3))</f>
        <v/>
      </c>
      <c r="H561" s="95" t="str">
        <f t="shared" si="337"/>
        <v>0-0</v>
      </c>
      <c r="I561" s="95" t="str">
        <f ca="1">IF(AND(J561=Singles!$H$21,INDIRECT(ADDRESS(A561+1,6,1))=0,NOT(INDIRECT(ADDRESS(A561+1,5,1))="")),IF(D561=0,IF(H561=H579,"",G561&amp;" "&amp;H561&amp;" v "&amp;H579&amp;", "),G561&amp;" "&amp;H561&amp;" vs. "&amp;G579&amp;" "&amp;H579&amp;", "),"")</f>
        <v/>
      </c>
      <c r="J561" s="97">
        <f>Singles!H$4</f>
        <v>1</v>
      </c>
      <c r="K561" s="95" t="str">
        <f t="shared" si="338"/>
        <v>SR</v>
      </c>
      <c r="L561" s="95" t="str">
        <f t="shared" si="339"/>
        <v>0</v>
      </c>
      <c r="M561" s="95" t="str">
        <f t="shared" si="340"/>
        <v>0</v>
      </c>
      <c r="N561" s="95" t="str">
        <f t="shared" si="341"/>
        <v>0</v>
      </c>
      <c r="O561" s="95" t="str">
        <f t="shared" si="342"/>
        <v>0</v>
      </c>
      <c r="P561" s="95" t="str">
        <f t="shared" si="343"/>
        <v>0</v>
      </c>
      <c r="Q561" s="95">
        <f>IF(AND(G561=T$3,LEN(G561)&gt;1),1,0)</f>
        <v>0</v>
      </c>
      <c r="R561" s="97">
        <f>Singles!D$4</f>
        <v>2</v>
      </c>
      <c r="S561" s="95">
        <f>IF(AND(H561=H$3,LEN(H561)&gt;1,Q561=1),1,0)</f>
        <v>0</v>
      </c>
      <c r="T561" s="95" t="str">
        <f ca="1">IF(T562&gt;0,LEFT(E560,LEN(E560)-2)&amp;" vs. "&amp;LEFT(E578,LEN(E578)-2),IF(SUMIF(Singles!$H$3:$H$18,"="&amp;Singles!$H$21,Singles!$I$3:$I$18)=0,"Same winners;",""))</f>
        <v>Same winners;</v>
      </c>
      <c r="V561" s="97">
        <f>VLOOKUP(2,X560:Y575,2,0)</f>
        <v>1</v>
      </c>
      <c r="X561" s="95">
        <f t="shared" si="344"/>
        <v>2</v>
      </c>
      <c r="Y561" s="95">
        <f t="shared" si="345"/>
        <v>1</v>
      </c>
      <c r="Z561" s="95">
        <f t="shared" si="346"/>
        <v>1</v>
      </c>
    </row>
    <row r="562" spans="1:26">
      <c r="A562" s="95">
        <v>3</v>
      </c>
      <c r="B562" s="95">
        <f>Singles!P115</f>
        <v>0</v>
      </c>
      <c r="C562" s="100" t="str">
        <f>IF(OR(LEFT(B562,LEN(B$4))=B$4,LEFT(B562,LEN(C$4))=C$4,LEN(B562)&lt;2),"","Wrong pick")</f>
        <v/>
      </c>
      <c r="D562" s="95">
        <f t="shared" ca="1" si="336"/>
        <v>0</v>
      </c>
      <c r="G562" s="95" t="str">
        <f>IF(B562=0,"",IF(LEFT(B562,LEN(B$4))=B$4,B$4,C$4))</f>
        <v/>
      </c>
      <c r="H562" s="95" t="str">
        <f t="shared" si="337"/>
        <v>0-0</v>
      </c>
      <c r="I562" s="95" t="str">
        <f ca="1">IF(AND(J562=Singles!$H$21,INDIRECT(ADDRESS(A562+1,6,1))=0,NOT(INDIRECT(ADDRESS(A562+1,5,1))="")),IF(D562=0,IF(H562=H580,"",G562&amp;" "&amp;H562&amp;" v "&amp;H580&amp;", "),G562&amp;" "&amp;H562&amp;" vs. "&amp;G580&amp;" "&amp;H580&amp;", "),"")</f>
        <v/>
      </c>
      <c r="J562" s="97">
        <f>Singles!H$5</f>
        <v>1</v>
      </c>
      <c r="K562" s="95" t="str">
        <f t="shared" si="338"/>
        <v>SR</v>
      </c>
      <c r="L562" s="95" t="str">
        <f t="shared" si="339"/>
        <v>0</v>
      </c>
      <c r="M562" s="95" t="str">
        <f t="shared" si="340"/>
        <v>0</v>
      </c>
      <c r="N562" s="95" t="str">
        <f t="shared" si="341"/>
        <v>0</v>
      </c>
      <c r="O562" s="95" t="str">
        <f t="shared" si="342"/>
        <v>0</v>
      </c>
      <c r="P562" s="95" t="str">
        <f t="shared" si="343"/>
        <v>0</v>
      </c>
      <c r="Q562" s="95">
        <f>IF(AND(G562=T$4,LEN(G562)&gt;1),1,0)</f>
        <v>0</v>
      </c>
      <c r="R562" s="97">
        <f>Singles!D$5</f>
        <v>3</v>
      </c>
      <c r="S562" s="95">
        <f>IF(AND(H562=H$4,LEN(H562)&gt;1,Q562=1),1,0)</f>
        <v>0</v>
      </c>
      <c r="T562" s="101">
        <f ca="1">SUMIF(J560:J575,$I$2,D560:D575)</f>
        <v>0</v>
      </c>
      <c r="V562" s="97">
        <f>VLOOKUP(3,X560:Y575,2,0)</f>
        <v>1</v>
      </c>
      <c r="X562" s="95">
        <f t="shared" si="344"/>
        <v>3</v>
      </c>
      <c r="Y562" s="95">
        <f t="shared" si="345"/>
        <v>1</v>
      </c>
      <c r="Z562" s="95">
        <f t="shared" si="346"/>
        <v>1</v>
      </c>
    </row>
    <row r="563" spans="1:26">
      <c r="A563" s="95">
        <v>4</v>
      </c>
      <c r="B563" s="95">
        <f>Singles!P116</f>
        <v>0</v>
      </c>
      <c r="C563" s="100" t="str">
        <f>IF(OR(LEFT(B563,LEN(B$5))=B$5,LEFT(B563,LEN(C$5))=C$5,LEN(B563)&lt;2),"","Wrong pick")</f>
        <v/>
      </c>
      <c r="D563" s="95">
        <f t="shared" ca="1" si="336"/>
        <v>0</v>
      </c>
      <c r="G563" s="95" t="str">
        <f>IF(B563=0,"",IF(LEFT(B563,LEN(B$5))=B$5,B$5,C$5))</f>
        <v/>
      </c>
      <c r="H563" s="95" t="str">
        <f t="shared" si="337"/>
        <v>0-0</v>
      </c>
      <c r="I563" s="95" t="str">
        <f ca="1">IF(AND(J563=Singles!$H$21,INDIRECT(ADDRESS(A563+1,6,1))=0,NOT(INDIRECT(ADDRESS(A563+1,5,1))="")),IF(D563=0,IF(H563=H581,"",G563&amp;" "&amp;H563&amp;" v "&amp;H581&amp;", "),G563&amp;" "&amp;H563&amp;" vs. "&amp;G581&amp;" "&amp;H581&amp;", "),"")</f>
        <v/>
      </c>
      <c r="J563" s="97">
        <f>Singles!H$6</f>
        <v>1</v>
      </c>
      <c r="K563" s="95" t="str">
        <f t="shared" si="338"/>
        <v>SR</v>
      </c>
      <c r="L563" s="95" t="str">
        <f t="shared" si="339"/>
        <v>0</v>
      </c>
      <c r="M563" s="95" t="str">
        <f t="shared" si="340"/>
        <v>0</v>
      </c>
      <c r="N563" s="95" t="str">
        <f t="shared" si="341"/>
        <v>0</v>
      </c>
      <c r="O563" s="95" t="str">
        <f t="shared" si="342"/>
        <v>0</v>
      </c>
      <c r="P563" s="95" t="str">
        <f t="shared" si="343"/>
        <v>0</v>
      </c>
      <c r="Q563" s="95">
        <f>IF(AND(G563=T$5,LEN(G563)&gt;1),1,0)</f>
        <v>0</v>
      </c>
      <c r="R563" s="97">
        <f>Singles!D$6</f>
        <v>4</v>
      </c>
      <c r="S563" s="95">
        <f>IF(AND(H563=H$5,LEN(H563)&gt;1,Q563=1),1,0)</f>
        <v>0</v>
      </c>
      <c r="T563" s="102" t="e">
        <f>IF(T565&lt;10,"0","")&amp;T565&amp;":"&amp;IF(T566&lt;10,"0","")&amp;T566&amp;" | [b]"&amp;IF(LEN(U563)&gt;0,U563,T559&amp;"[/b] vs. [b]"&amp;T577&amp;"[/b]"&amp;IF(Singles!$H$21&gt;1," (SR "&amp;U565&amp;":"&amp;U566&amp;")","")&amp;" - "&amp;IF(COUNTIF(C560:C593,"=Wrong Pick")&gt;0,"Incorrect pick, probably a spelling mistake",IF(AND(F560="",F578=""),T561&amp;IF(AND(OR(AND(Singles!$H$20&gt;1,Singles!$H$21&lt;Singles!$H$20),MOD(T562+T565+T566,2)=0),NOT(Singles!$H$23="No")),LEFT(T560,LEN(T560)-2),""),F560&amp;F578)))</f>
        <v>#N/A</v>
      </c>
      <c r="U563" s="95" t="str">
        <f>IF(B559="Bye","Bye[/b] vs. [b][color=blue]"&amp;T577&amp;"[/color][/b]",IF(B577="Bye","[color=blue]"&amp;T559&amp;"[/color][/b] vs. [b]Bye[/b]",""))</f>
        <v/>
      </c>
      <c r="V563" s="97">
        <f>VLOOKUP(4,X560:Y575,2,0)</f>
        <v>1</v>
      </c>
      <c r="X563" s="95">
        <f t="shared" si="344"/>
        <v>4</v>
      </c>
      <c r="Y563" s="95">
        <f t="shared" si="345"/>
        <v>1</v>
      </c>
      <c r="Z563" s="95">
        <f t="shared" si="346"/>
        <v>1</v>
      </c>
    </row>
    <row r="564" spans="1:26">
      <c r="A564" s="95">
        <v>5</v>
      </c>
      <c r="B564" s="95">
        <f>Singles!P117</f>
        <v>0</v>
      </c>
      <c r="C564" s="100" t="str">
        <f>IF(OR(LEFT(B564,LEN(B$6))=B$6,LEFT(B564,LEN(C$6))=C$6,LEN(B564)&lt;2),"","Wrong pick")</f>
        <v/>
      </c>
      <c r="D564" s="95">
        <f t="shared" ca="1" si="336"/>
        <v>0</v>
      </c>
      <c r="G564" s="95" t="str">
        <f>IF(B564=0,"",IF(LEFT(B564,LEN(B$6))=B$6,B$6,C$6))</f>
        <v/>
      </c>
      <c r="H564" s="95" t="str">
        <f t="shared" si="337"/>
        <v>0-0</v>
      </c>
      <c r="I564" s="95" t="str">
        <f ca="1">IF(AND(J564=Singles!$H$21,INDIRECT(ADDRESS(A564+1,6,1))=0,NOT(INDIRECT(ADDRESS(A564+1,5,1))="")),IF(D564=0,IF(H564=H582,"",G564&amp;" "&amp;H564&amp;" v "&amp;H582&amp;", "),G564&amp;" "&amp;H564&amp;" vs. "&amp;G582&amp;" "&amp;H582&amp;", "),"")</f>
        <v/>
      </c>
      <c r="J564" s="97">
        <f>Singles!H$7</f>
        <v>1</v>
      </c>
      <c r="K564" s="95" t="str">
        <f t="shared" si="338"/>
        <v>SR</v>
      </c>
      <c r="L564" s="95" t="str">
        <f t="shared" si="339"/>
        <v>0</v>
      </c>
      <c r="M564" s="95" t="str">
        <f t="shared" si="340"/>
        <v>0</v>
      </c>
      <c r="N564" s="95" t="str">
        <f t="shared" si="341"/>
        <v>0</v>
      </c>
      <c r="O564" s="95" t="str">
        <f t="shared" si="342"/>
        <v>0</v>
      </c>
      <c r="P564" s="95" t="str">
        <f t="shared" si="343"/>
        <v>0</v>
      </c>
      <c r="Q564" s="95">
        <f>IF(AND(G564=T$6,LEN(G564)&gt;1),1,0)</f>
        <v>0</v>
      </c>
      <c r="R564" s="97">
        <f>Singles!D$7</f>
        <v>5</v>
      </c>
      <c r="S564" s="95">
        <f>IF(AND(H564=H$6,LEN(H564)&gt;1,Q564=1),1,0)</f>
        <v>0</v>
      </c>
      <c r="T564" s="103" t="str">
        <f>IF(Singles!$H$22=$F$18,IF(T565&gt;T566,B559,IF(T565&lt;T566,B577,IF(U565&gt;U566,B559,IF(U565&lt;U566,B577,T568)))),"No decision yet")</f>
        <v>No decision yet</v>
      </c>
      <c r="U564" s="104" t="e">
        <f>IF(T565&lt;10,"0","")&amp;T565&amp;":"&amp;IF(T566&lt;10,"0","")&amp;T566&amp;" | "&amp;IF(AND(A559&gt;0,A559&lt;33,B559=T564),"[b][color=Blue]"&amp;T559&amp;"[/color][/b]",IF(B559=T564,"[color=Blue]"&amp;T559&amp;"[/color]",IF(AND(A559&gt;0,A559&lt;33),"[b]"&amp;T559&amp;"[/b]",T559)))&amp;" vs. "&amp;IF(AND(A577&gt;0,A577&lt;33,B577=T564),"[b][color=Blue]"&amp;T577&amp;"[/color][/b]",IF(B577=T564,"[color=Blue]"&amp;T577&amp;"[/color]",IF(AND(A577&gt;0,A577&lt;33),"[b]"&amp;T577&amp;"[/b]",T577)))&amp;IF(OR(Singles!$B$40="yes",T565=T566)," #SRs: "&amp;U565&amp;"-"&amp;U566,"")&amp;IF(AND(T565=T566,U565=U566,U568&lt;17,Singles!$H$22=$F$18),", Shootout: SR"&amp;U568,"")</f>
        <v>#N/A</v>
      </c>
      <c r="V564" s="97">
        <f>VLOOKUP(5,X560:Y575,2,0)</f>
        <v>1</v>
      </c>
      <c r="X564" s="95">
        <f t="shared" si="344"/>
        <v>5</v>
      </c>
      <c r="Y564" s="95">
        <f t="shared" si="345"/>
        <v>1</v>
      </c>
      <c r="Z564" s="95">
        <f t="shared" si="346"/>
        <v>1</v>
      </c>
    </row>
    <row r="565" spans="1:26">
      <c r="A565" s="95">
        <v>6</v>
      </c>
      <c r="B565" s="95">
        <f>Singles!P118</f>
        <v>0</v>
      </c>
      <c r="C565" s="100" t="str">
        <f>IF(OR(LEFT(B565,LEN(B$7))=B$7,LEFT(B565,LEN(C$7))=C$7,LEN(B565)&lt;2),"","Wrong pick")</f>
        <v/>
      </c>
      <c r="D565" s="95">
        <f t="shared" ca="1" si="336"/>
        <v>0</v>
      </c>
      <c r="G565" s="95" t="str">
        <f>IF(B565=0,"",IF(LEFT(B565,LEN(B$7))=B$7,B$7,C$7))</f>
        <v/>
      </c>
      <c r="H565" s="95" t="str">
        <f t="shared" si="337"/>
        <v>0-0</v>
      </c>
      <c r="I565" s="95" t="str">
        <f ca="1">IF(AND(J565=Singles!$H$21,INDIRECT(ADDRESS(A565+1,6,1))=0,NOT(INDIRECT(ADDRESS(A565+1,5,1))="")),IF(D565=0,IF(H565=H583,"",G565&amp;" "&amp;H565&amp;" v "&amp;H583&amp;", "),G565&amp;" "&amp;H565&amp;" vs. "&amp;G583&amp;" "&amp;H583&amp;", "),"")</f>
        <v/>
      </c>
      <c r="J565" s="97">
        <f>Singles!H$8</f>
        <v>1</v>
      </c>
      <c r="K565" s="95" t="str">
        <f t="shared" si="338"/>
        <v>SR</v>
      </c>
      <c r="L565" s="95" t="str">
        <f t="shared" si="339"/>
        <v>0</v>
      </c>
      <c r="M565" s="95" t="str">
        <f t="shared" si="340"/>
        <v>0</v>
      </c>
      <c r="N565" s="95" t="str">
        <f t="shared" si="341"/>
        <v>0</v>
      </c>
      <c r="O565" s="95" t="str">
        <f t="shared" si="342"/>
        <v>0</v>
      </c>
      <c r="P565" s="95" t="str">
        <f t="shared" si="343"/>
        <v>0</v>
      </c>
      <c r="Q565" s="95">
        <f>IF(AND(G565=T$7,LEN(G565)&gt;1),1,0)</f>
        <v>0</v>
      </c>
      <c r="R565" s="97">
        <f>Singles!D$8</f>
        <v>6</v>
      </c>
      <c r="S565" s="95">
        <f>IF(AND(H565=H$7,LEN(H565)&gt;1,Q565=1),1,0)</f>
        <v>0</v>
      </c>
      <c r="T565" s="105">
        <f>SUM(Q560:Q575)</f>
        <v>0</v>
      </c>
      <c r="U565" s="97">
        <f>SUM(S560:S575)</f>
        <v>0</v>
      </c>
      <c r="V565" s="97">
        <f>VLOOKUP(6,X560:Y575,2,0)</f>
        <v>1</v>
      </c>
      <c r="X565" s="95">
        <f t="shared" si="344"/>
        <v>6</v>
      </c>
      <c r="Y565" s="95">
        <f t="shared" si="345"/>
        <v>1</v>
      </c>
      <c r="Z565" s="95">
        <f t="shared" si="346"/>
        <v>1</v>
      </c>
    </row>
    <row r="566" spans="1:26">
      <c r="A566" s="95">
        <v>7</v>
      </c>
      <c r="B566" s="95">
        <f>Singles!P119</f>
        <v>0</v>
      </c>
      <c r="C566" s="100" t="str">
        <f>IF(OR(LEFT(B566,LEN(B$8))=B$8,LEFT(B566,LEN(C$8))=C$8,LEN(B566)&lt;2),"","Wrong pick")</f>
        <v/>
      </c>
      <c r="D566" s="95">
        <f t="shared" ca="1" si="336"/>
        <v>0</v>
      </c>
      <c r="G566" s="95" t="str">
        <f>IF(B566=0,"",IF(LEFT(B566,LEN(B$8))=B$8,B$8,C$8))</f>
        <v/>
      </c>
      <c r="H566" s="95" t="str">
        <f t="shared" si="337"/>
        <v>0-0</v>
      </c>
      <c r="I566" s="95" t="str">
        <f ca="1">IF(AND(J566=Singles!$H$21,INDIRECT(ADDRESS(A566+1,6,1))=0,NOT(INDIRECT(ADDRESS(A566+1,5,1))="")),IF(D566=0,IF(H566=H584,"",G566&amp;" "&amp;H566&amp;" v "&amp;H584&amp;", "),G566&amp;" "&amp;H566&amp;" vs. "&amp;G584&amp;" "&amp;H584&amp;", "),"")</f>
        <v/>
      </c>
      <c r="J566" s="97">
        <f>Singles!H$9</f>
        <v>1</v>
      </c>
      <c r="K566" s="95" t="str">
        <f t="shared" si="338"/>
        <v>SR</v>
      </c>
      <c r="L566" s="95" t="str">
        <f t="shared" si="339"/>
        <v>0</v>
      </c>
      <c r="M566" s="95" t="str">
        <f t="shared" si="340"/>
        <v>0</v>
      </c>
      <c r="N566" s="95" t="str">
        <f t="shared" si="341"/>
        <v>0</v>
      </c>
      <c r="O566" s="95" t="str">
        <f t="shared" si="342"/>
        <v>0</v>
      </c>
      <c r="P566" s="95" t="str">
        <f t="shared" si="343"/>
        <v>0</v>
      </c>
      <c r="Q566" s="95">
        <f>IF(AND(G566=T$8,LEN(G566)&gt;1),1,0)</f>
        <v>0</v>
      </c>
      <c r="R566" s="97">
        <f>Singles!D$9</f>
        <v>7</v>
      </c>
      <c r="S566" s="95">
        <f>IF(AND(H566=H$8,LEN(H566)&gt;1,Q566=1),1,0)</f>
        <v>0</v>
      </c>
      <c r="T566" s="105">
        <f>SUM(Q578:Q593)</f>
        <v>0</v>
      </c>
      <c r="U566" s="97">
        <f>SUM(S578:S593)</f>
        <v>0</v>
      </c>
      <c r="V566" s="97">
        <f>VLOOKUP(7,X560:Y575,2,0)</f>
        <v>1</v>
      </c>
      <c r="X566" s="95">
        <f t="shared" si="344"/>
        <v>7</v>
      </c>
      <c r="Y566" s="95">
        <f t="shared" si="345"/>
        <v>1</v>
      </c>
      <c r="Z566" s="95">
        <f t="shared" si="346"/>
        <v>1</v>
      </c>
    </row>
    <row r="567" spans="1:26">
      <c r="A567" s="95">
        <v>8</v>
      </c>
      <c r="B567" s="95">
        <f>Singles!P120</f>
        <v>0</v>
      </c>
      <c r="C567" s="100" t="str">
        <f>IF(OR(LEFT(B567,LEN(B$9))=B$9,LEFT(B567,LEN(C$9))=C$9,LEN(B567)&lt;2),"","Wrong pick")</f>
        <v/>
      </c>
      <c r="D567" s="95">
        <f t="shared" ca="1" si="336"/>
        <v>0</v>
      </c>
      <c r="G567" s="95" t="str">
        <f>IF(B567=0,"",IF(LEFT(B567,LEN(B$9))=B$9,B$9,C$9))</f>
        <v/>
      </c>
      <c r="H567" s="95" t="str">
        <f t="shared" si="337"/>
        <v>0-0</v>
      </c>
      <c r="I567" s="95" t="str">
        <f ca="1">IF(AND(J567=Singles!$H$21,INDIRECT(ADDRESS(A567+1,6,1))=0,NOT(INDIRECT(ADDRESS(A567+1,5,1))="")),IF(D567=0,IF(H567=H585,"",G567&amp;" "&amp;H567&amp;" v "&amp;H585&amp;", "),G567&amp;" "&amp;H567&amp;" vs. "&amp;G585&amp;" "&amp;H585&amp;", "),"")</f>
        <v/>
      </c>
      <c r="J567" s="97">
        <f>Singles!H$10</f>
        <v>1</v>
      </c>
      <c r="K567" s="95" t="str">
        <f t="shared" si="338"/>
        <v>SR</v>
      </c>
      <c r="L567" s="95" t="str">
        <f t="shared" si="339"/>
        <v>0</v>
      </c>
      <c r="M567" s="95" t="str">
        <f t="shared" si="340"/>
        <v>0</v>
      </c>
      <c r="N567" s="95" t="str">
        <f t="shared" si="341"/>
        <v>0</v>
      </c>
      <c r="O567" s="95" t="str">
        <f t="shared" si="342"/>
        <v>0</v>
      </c>
      <c r="P567" s="95" t="str">
        <f t="shared" si="343"/>
        <v>0</v>
      </c>
      <c r="Q567" s="95">
        <f>IF(AND(G567=T$9,LEN(G567)&gt;1),1,0)</f>
        <v>0</v>
      </c>
      <c r="R567" s="97">
        <f>Singles!D$10</f>
        <v>8</v>
      </c>
      <c r="S567" s="95">
        <f>IF(AND(H567=H$9,LEN(H567)&gt;1,Q567=1),1,0)</f>
        <v>0</v>
      </c>
      <c r="V567" s="97">
        <f>VLOOKUP(8,X560:Y575,2,0)</f>
        <v>1</v>
      </c>
      <c r="X567" s="95">
        <f t="shared" si="344"/>
        <v>8</v>
      </c>
      <c r="Y567" s="95">
        <f t="shared" si="345"/>
        <v>1</v>
      </c>
      <c r="Z567" s="95">
        <f t="shared" si="346"/>
        <v>1</v>
      </c>
    </row>
    <row r="568" spans="1:26">
      <c r="A568" s="95">
        <v>9</v>
      </c>
      <c r="B568" s="95">
        <f>Singles!P121</f>
        <v>0</v>
      </c>
      <c r="C568" s="100" t="str">
        <f>IF(OR(LEFT(B568,LEN(B$10))=B$10,LEFT(B568,LEN(C$10))=C$10,LEN(B568)&lt;2),"","Wrong pick")</f>
        <v/>
      </c>
      <c r="D568" s="95">
        <f t="shared" ca="1" si="336"/>
        <v>0</v>
      </c>
      <c r="G568" s="95" t="str">
        <f>IF(B568=0,"",IF(LEFT(B568,LEN(B$10))=B$10,B$10,C$10))</f>
        <v/>
      </c>
      <c r="H568" s="95" t="str">
        <f t="shared" si="337"/>
        <v>0-0</v>
      </c>
      <c r="I568" s="95" t="str">
        <f ca="1">IF(AND(J568=Singles!$H$21,INDIRECT(ADDRESS(A568+1,6,1))=0,NOT(INDIRECT(ADDRESS(A568+1,5,1))="")),IF(D568=0,IF(H568=H586,"",G568&amp;" "&amp;H568&amp;" v "&amp;H586&amp;", "),G568&amp;" "&amp;H568&amp;" vs. "&amp;G586&amp;" "&amp;H586&amp;", "),"")</f>
        <v/>
      </c>
      <c r="J568" s="97">
        <f>Singles!H$11</f>
        <v>1</v>
      </c>
      <c r="K568" s="95" t="str">
        <f t="shared" si="338"/>
        <v>SR</v>
      </c>
      <c r="L568" s="95" t="str">
        <f t="shared" si="339"/>
        <v>0</v>
      </c>
      <c r="M568" s="95" t="str">
        <f t="shared" si="340"/>
        <v>0</v>
      </c>
      <c r="N568" s="95" t="str">
        <f t="shared" si="341"/>
        <v>0</v>
      </c>
      <c r="O568" s="95" t="str">
        <f t="shared" si="342"/>
        <v>0</v>
      </c>
      <c r="P568" s="95" t="str">
        <f t="shared" si="343"/>
        <v>0</v>
      </c>
      <c r="Q568" s="95">
        <f>IF(AND(G568=T$10,LEN(G568)&gt;1),1,0)</f>
        <v>0</v>
      </c>
      <c r="R568" s="97">
        <f>Singles!D$11</f>
        <v>9</v>
      </c>
      <c r="S568" s="95">
        <f>IF(AND(H568=H$10,LEN(H568)&gt;1,Q568=1),1,0)</f>
        <v>0</v>
      </c>
      <c r="T568" s="95" t="str">
        <f>VLOOKUP("Winner",T578:U594,2,0)</f>
        <v>Tied; see PTS</v>
      </c>
      <c r="U568" s="95">
        <f>VLOOKUP(T568,U578:W594,3,0)</f>
        <v>17</v>
      </c>
      <c r="V568" s="97">
        <f>VLOOKUP(9,X560:Y575,2,0)</f>
        <v>1</v>
      </c>
      <c r="X568" s="95">
        <f t="shared" si="344"/>
        <v>9</v>
      </c>
      <c r="Y568" s="95">
        <f t="shared" si="345"/>
        <v>1</v>
      </c>
      <c r="Z568" s="95">
        <f t="shared" si="346"/>
        <v>1</v>
      </c>
    </row>
    <row r="569" spans="1:26">
      <c r="A569" s="95">
        <v>10</v>
      </c>
      <c r="B569" s="95">
        <f>Singles!P122</f>
        <v>0</v>
      </c>
      <c r="C569" s="100" t="str">
        <f>IF(OR(LEFT(B569,LEN(B$11))=B$11,LEFT(B569,LEN(C$11))=C$11,LEN(B569)&lt;2),"","Wrong pick")</f>
        <v/>
      </c>
      <c r="D569" s="95">
        <f t="shared" ca="1" si="336"/>
        <v>0</v>
      </c>
      <c r="G569" s="95" t="str">
        <f>IF(B569=0,"",IF(LEFT(B569,LEN(B$11))=B$11,B$11,C$11))</f>
        <v/>
      </c>
      <c r="H569" s="95" t="str">
        <f t="shared" si="337"/>
        <v>0-0</v>
      </c>
      <c r="I569" s="95" t="str">
        <f ca="1">IF(AND(J569=Singles!$H$21,INDIRECT(ADDRESS(A569+1,6,1))=0,NOT(INDIRECT(ADDRESS(A569+1,5,1))="")),IF(D569=0,IF(H569=H587,"",G569&amp;" "&amp;H569&amp;" v "&amp;H587&amp;", "),G569&amp;" "&amp;H569&amp;" vs. "&amp;G587&amp;" "&amp;H587&amp;", "),"")</f>
        <v/>
      </c>
      <c r="J569" s="97">
        <f>Singles!H$12</f>
        <v>1</v>
      </c>
      <c r="K569" s="95" t="str">
        <f t="shared" si="338"/>
        <v>SR</v>
      </c>
      <c r="L569" s="95" t="str">
        <f t="shared" si="339"/>
        <v>0</v>
      </c>
      <c r="M569" s="95" t="str">
        <f t="shared" si="340"/>
        <v>0</v>
      </c>
      <c r="N569" s="95" t="str">
        <f t="shared" si="341"/>
        <v>0</v>
      </c>
      <c r="O569" s="95" t="str">
        <f t="shared" si="342"/>
        <v>0</v>
      </c>
      <c r="P569" s="95" t="str">
        <f t="shared" si="343"/>
        <v>0</v>
      </c>
      <c r="Q569" s="95">
        <f>IF(AND(G569=T$11,LEN(G569)&gt;1),1,0)</f>
        <v>0</v>
      </c>
      <c r="R569" s="97">
        <f>Singles!D$12</f>
        <v>10</v>
      </c>
      <c r="S569" s="95">
        <f>IF(AND(H569=H$11,LEN(H569)&gt;1,Q569=1),1,0)</f>
        <v>0</v>
      </c>
      <c r="V569" s="97">
        <f>VLOOKUP(10,X560:Y575,2,0)</f>
        <v>1</v>
      </c>
      <c r="X569" s="95">
        <f t="shared" si="344"/>
        <v>10</v>
      </c>
      <c r="Y569" s="95">
        <f t="shared" si="345"/>
        <v>1</v>
      </c>
      <c r="Z569" s="95">
        <f t="shared" si="346"/>
        <v>1</v>
      </c>
    </row>
    <row r="570" spans="1:26">
      <c r="A570" s="95">
        <v>11</v>
      </c>
      <c r="B570" s="95">
        <f>Singles!P123</f>
        <v>0</v>
      </c>
      <c r="C570" s="100" t="str">
        <f>IF(OR(LEFT(B570,LEN(B$12))=B$12,LEFT(B570,LEN(C$12))=C$12,LEN(B570)&lt;2),"","Wrong pick")</f>
        <v/>
      </c>
      <c r="D570" s="95">
        <f t="shared" ca="1" si="336"/>
        <v>0</v>
      </c>
      <c r="G570" s="95" t="str">
        <f>IF(B570=0,"",IF(LEFT(B570,LEN(B$12))=B$12,B$12,C$12))</f>
        <v/>
      </c>
      <c r="H570" s="95" t="str">
        <f t="shared" si="337"/>
        <v>0-0</v>
      </c>
      <c r="I570" s="95" t="str">
        <f ca="1">IF(AND(J570=Singles!$H$21,INDIRECT(ADDRESS(A570+1,6,1))=0,NOT(INDIRECT(ADDRESS(A570+1,5,1))="")),IF(D570=0,IF(H570=H588,"",G570&amp;" "&amp;H570&amp;" v "&amp;H588&amp;", "),G570&amp;" "&amp;H570&amp;" vs. "&amp;G588&amp;" "&amp;H588&amp;", "),"")</f>
        <v/>
      </c>
      <c r="J570" s="97">
        <f>Singles!H$13</f>
        <v>1</v>
      </c>
      <c r="K570" s="95" t="str">
        <f t="shared" si="338"/>
        <v>SR</v>
      </c>
      <c r="L570" s="95" t="str">
        <f t="shared" si="339"/>
        <v>0</v>
      </c>
      <c r="M570" s="95" t="str">
        <f t="shared" si="340"/>
        <v>0</v>
      </c>
      <c r="N570" s="95" t="str">
        <f t="shared" si="341"/>
        <v>0</v>
      </c>
      <c r="O570" s="95" t="str">
        <f t="shared" si="342"/>
        <v>0</v>
      </c>
      <c r="P570" s="95" t="str">
        <f t="shared" si="343"/>
        <v>0</v>
      </c>
      <c r="Q570" s="95">
        <f>IF(AND(G570=T$12,LEN(G570)&gt;1),1,0)</f>
        <v>0</v>
      </c>
      <c r="R570" s="97">
        <f>Singles!D$13</f>
        <v>11</v>
      </c>
      <c r="S570" s="95">
        <f>IF(AND(H570=H$12,LEN(H570)&gt;1,Q570=1),1,0)</f>
        <v>0</v>
      </c>
      <c r="V570" s="97">
        <f>VLOOKUP(11,X560:Y575,2,0)</f>
        <v>1</v>
      </c>
      <c r="X570" s="95">
        <f t="shared" si="344"/>
        <v>11</v>
      </c>
      <c r="Y570" s="95">
        <f t="shared" si="345"/>
        <v>1</v>
      </c>
      <c r="Z570" s="95">
        <f t="shared" si="346"/>
        <v>1</v>
      </c>
    </row>
    <row r="571" spans="1:26">
      <c r="A571" s="95">
        <v>12</v>
      </c>
      <c r="B571" s="95">
        <f>Singles!P124</f>
        <v>0</v>
      </c>
      <c r="C571" s="100" t="str">
        <f>IF(OR(LEFT(B571,LEN(B$13))=B$13,LEFT(B571,LEN(C$13))=C$13,LEN(B571)&lt;2),"","Wrong pick")</f>
        <v/>
      </c>
      <c r="D571" s="95">
        <f t="shared" ca="1" si="336"/>
        <v>0</v>
      </c>
      <c r="G571" s="95" t="str">
        <f>IF(B571=0,"",IF(LEFT(B571,LEN(B$13))=B$13,B$13,C$13))</f>
        <v/>
      </c>
      <c r="H571" s="95" t="str">
        <f t="shared" si="337"/>
        <v>0-0</v>
      </c>
      <c r="I571" s="95" t="str">
        <f ca="1">IF(AND(J571=Singles!$H$21,INDIRECT(ADDRESS(A571+1,6,1))=0,NOT(INDIRECT(ADDRESS(A571+1,5,1))="")),IF(D571=0,IF(H571=H589,"",G571&amp;" "&amp;H571&amp;" v "&amp;H589&amp;", "),G571&amp;" "&amp;H571&amp;" vs. "&amp;G589&amp;" "&amp;H589&amp;", "),"")</f>
        <v/>
      </c>
      <c r="J571" s="97">
        <f>Singles!H$14</f>
        <v>1</v>
      </c>
      <c r="K571" s="95" t="str">
        <f t="shared" si="338"/>
        <v>SR</v>
      </c>
      <c r="L571" s="95" t="str">
        <f t="shared" si="339"/>
        <v>0</v>
      </c>
      <c r="M571" s="95" t="str">
        <f t="shared" si="340"/>
        <v>0</v>
      </c>
      <c r="N571" s="95" t="str">
        <f t="shared" si="341"/>
        <v>0</v>
      </c>
      <c r="O571" s="95" t="str">
        <f t="shared" si="342"/>
        <v>0</v>
      </c>
      <c r="P571" s="95" t="str">
        <f t="shared" si="343"/>
        <v>0</v>
      </c>
      <c r="Q571" s="95">
        <f>IF(AND(G571=T$13,LEN(G571)&gt;1),1,0)</f>
        <v>0</v>
      </c>
      <c r="R571" s="97">
        <f>Singles!D$14</f>
        <v>12</v>
      </c>
      <c r="S571" s="95">
        <f>IF(AND(H571=H$13,LEN(H571)&gt;1,Q571=1),1,0)</f>
        <v>0</v>
      </c>
      <c r="V571" s="97">
        <f>VLOOKUP(12,X560:Y575,2,0)</f>
        <v>1</v>
      </c>
      <c r="X571" s="95">
        <f t="shared" si="344"/>
        <v>12</v>
      </c>
      <c r="Y571" s="95">
        <f t="shared" si="345"/>
        <v>1</v>
      </c>
      <c r="Z571" s="95">
        <f t="shared" si="346"/>
        <v>1</v>
      </c>
    </row>
    <row r="572" spans="1:26">
      <c r="A572" s="95">
        <v>13</v>
      </c>
      <c r="B572" s="95">
        <f>Singles!P125</f>
        <v>0</v>
      </c>
      <c r="C572" s="100" t="str">
        <f>IF(OR(LEFT(B572,LEN(B$14))=B$14,LEFT(B572,LEN(C$14))=C$14,LEN(B572)&lt;2),"","Wrong pick")</f>
        <v/>
      </c>
      <c r="D572" s="95">
        <f t="shared" ca="1" si="336"/>
        <v>0</v>
      </c>
      <c r="G572" s="95" t="str">
        <f>IF(B572=0,"",IF(LEFT(B572,LEN(B$14))=B$14,B$14,C$14))</f>
        <v/>
      </c>
      <c r="H572" s="95" t="str">
        <f t="shared" si="337"/>
        <v>0-0</v>
      </c>
      <c r="I572" s="95" t="str">
        <f ca="1">IF(AND(J572=Singles!$H$21,INDIRECT(ADDRESS(A572+1,6,1))=0,NOT(INDIRECT(ADDRESS(A572+1,5,1))="")),IF(D572=0,IF(H572=H590,"",G572&amp;" "&amp;H572&amp;" v "&amp;H590&amp;", "),G572&amp;" "&amp;H572&amp;" vs. "&amp;G590&amp;" "&amp;H590&amp;", "),"")</f>
        <v/>
      </c>
      <c r="J572" s="97">
        <f>Singles!H$15</f>
        <v>1</v>
      </c>
      <c r="K572" s="95" t="str">
        <f t="shared" si="338"/>
        <v>SR</v>
      </c>
      <c r="L572" s="95" t="str">
        <f t="shared" si="339"/>
        <v>0</v>
      </c>
      <c r="M572" s="95" t="str">
        <f t="shared" si="340"/>
        <v>0</v>
      </c>
      <c r="N572" s="95" t="str">
        <f t="shared" si="341"/>
        <v>0</v>
      </c>
      <c r="O572" s="95" t="str">
        <f t="shared" si="342"/>
        <v>0</v>
      </c>
      <c r="P572" s="95" t="str">
        <f t="shared" si="343"/>
        <v>0</v>
      </c>
      <c r="Q572" s="95">
        <f>IF(AND(G572=T$14,LEN(G572)&gt;1),1,0)</f>
        <v>0</v>
      </c>
      <c r="R572" s="97">
        <f>Singles!D$15</f>
        <v>13</v>
      </c>
      <c r="S572" s="95">
        <f>IF(AND(H572=H$14,LEN(H572)&gt;1,Q572=1),1,0)</f>
        <v>0</v>
      </c>
      <c r="V572" s="97">
        <f>VLOOKUP(13,X560:Y575,2,0)</f>
        <v>1</v>
      </c>
      <c r="X572" s="95">
        <f t="shared" si="344"/>
        <v>13</v>
      </c>
      <c r="Y572" s="95">
        <f t="shared" si="345"/>
        <v>1</v>
      </c>
      <c r="Z572" s="95">
        <f t="shared" si="346"/>
        <v>1</v>
      </c>
    </row>
    <row r="573" spans="1:26">
      <c r="A573" s="95">
        <v>14</v>
      </c>
      <c r="B573" s="95">
        <f>Singles!P126</f>
        <v>0</v>
      </c>
      <c r="C573" s="100" t="str">
        <f>IF(OR(LEFT(B573,LEN(B$15))=B$15,LEFT(B573,LEN(C$15))=C$15,LEN(B573)&lt;2),"","Wrong pick")</f>
        <v/>
      </c>
      <c r="D573" s="95">
        <f t="shared" ca="1" si="336"/>
        <v>0</v>
      </c>
      <c r="G573" s="95" t="str">
        <f>IF(B573=0,"",IF(LEFT(B573,LEN(B$15))=B$15,B$15,C$15))</f>
        <v/>
      </c>
      <c r="H573" s="95" t="str">
        <f t="shared" si="337"/>
        <v>0-0</v>
      </c>
      <c r="I573" s="95" t="str">
        <f ca="1">IF(AND(J573=Singles!$H$21,INDIRECT(ADDRESS(A573+1,6,1))=0,NOT(INDIRECT(ADDRESS(A573+1,5,1))="")),IF(D573=0,IF(H573=H591,"",G573&amp;" "&amp;H573&amp;" v "&amp;H591&amp;", "),G573&amp;" "&amp;H573&amp;" vs. "&amp;G591&amp;" "&amp;H591&amp;", "),"")</f>
        <v/>
      </c>
      <c r="J573" s="97">
        <f>Singles!H$16</f>
        <v>1</v>
      </c>
      <c r="K573" s="95" t="str">
        <f t="shared" si="338"/>
        <v>SR</v>
      </c>
      <c r="L573" s="95" t="str">
        <f t="shared" si="339"/>
        <v>0</v>
      </c>
      <c r="M573" s="95" t="str">
        <f t="shared" si="340"/>
        <v>0</v>
      </c>
      <c r="N573" s="95" t="str">
        <f t="shared" si="341"/>
        <v>0</v>
      </c>
      <c r="O573" s="95" t="str">
        <f t="shared" si="342"/>
        <v>0</v>
      </c>
      <c r="P573" s="95" t="str">
        <f t="shared" si="343"/>
        <v>0</v>
      </c>
      <c r="Q573" s="95">
        <f>IF(AND(G573=T$15,LEN(G573)&gt;1),1,0)</f>
        <v>0</v>
      </c>
      <c r="R573" s="97">
        <f>Singles!D$16</f>
        <v>14</v>
      </c>
      <c r="S573" s="95">
        <f>IF(AND(H573=H$15,LEN(H573)&gt;1,Q573=1),1,0)</f>
        <v>0</v>
      </c>
      <c r="V573" s="97">
        <f>VLOOKUP(14,X560:Y575,2,0)</f>
        <v>1</v>
      </c>
      <c r="X573" s="95">
        <f t="shared" si="344"/>
        <v>14</v>
      </c>
      <c r="Y573" s="95">
        <f t="shared" si="345"/>
        <v>1</v>
      </c>
      <c r="Z573" s="95">
        <f t="shared" si="346"/>
        <v>1</v>
      </c>
    </row>
    <row r="574" spans="1:26">
      <c r="A574" s="95">
        <v>15</v>
      </c>
      <c r="B574" s="95">
        <f>Singles!P127</f>
        <v>0</v>
      </c>
      <c r="C574" s="100" t="str">
        <f>IF(OR(LEFT(B574,LEN(B$16))=B$16,LEFT(B574,LEN(C$16))=C$16,LEN(B574)&lt;2),"","Wrong pick")</f>
        <v/>
      </c>
      <c r="D574" s="95">
        <f t="shared" ca="1" si="336"/>
        <v>0</v>
      </c>
      <c r="G574" s="95" t="str">
        <f>IF(B574=0,"",IF(LEFT(B574,LEN(B$16))=B$16,B$16,C$16))</f>
        <v/>
      </c>
      <c r="H574" s="95" t="str">
        <f t="shared" si="337"/>
        <v>0-0</v>
      </c>
      <c r="I574" s="95" t="str">
        <f ca="1">IF(AND(J574=Singles!$H$21,INDIRECT(ADDRESS(A574+1,6,1))=0,NOT(INDIRECT(ADDRESS(A574+1,5,1))="")),IF(D574=0,IF(H574=H592,"",G574&amp;" "&amp;H574&amp;" v "&amp;H592&amp;", "),G574&amp;" "&amp;H574&amp;" vs. "&amp;G592&amp;" "&amp;H592&amp;", "),"")</f>
        <v/>
      </c>
      <c r="J574" s="97">
        <f>Singles!H$17</f>
        <v>1</v>
      </c>
      <c r="K574" s="95" t="str">
        <f t="shared" si="338"/>
        <v>SR</v>
      </c>
      <c r="L574" s="95" t="str">
        <f t="shared" si="339"/>
        <v>0</v>
      </c>
      <c r="M574" s="95" t="str">
        <f t="shared" si="340"/>
        <v>0</v>
      </c>
      <c r="N574" s="95" t="str">
        <f t="shared" si="341"/>
        <v>0</v>
      </c>
      <c r="O574" s="95" t="str">
        <f t="shared" si="342"/>
        <v>0</v>
      </c>
      <c r="P574" s="95" t="str">
        <f t="shared" si="343"/>
        <v>0</v>
      </c>
      <c r="Q574" s="95">
        <f>IF(AND(G574=T$16,LEN(G574)&gt;1),1,0)</f>
        <v>0</v>
      </c>
      <c r="R574" s="97">
        <f>Singles!D$17</f>
        <v>15</v>
      </c>
      <c r="S574" s="95">
        <f>IF(AND(H574=H$16,LEN(H574)&gt;1,Q574=1),1,0)</f>
        <v>0</v>
      </c>
      <c r="V574" s="97">
        <f>VLOOKUP(15,X560:Y575,2,0)</f>
        <v>1</v>
      </c>
      <c r="X574" s="95">
        <f t="shared" si="344"/>
        <v>15</v>
      </c>
      <c r="Y574" s="95">
        <f t="shared" si="345"/>
        <v>1</v>
      </c>
      <c r="Z574" s="95">
        <f t="shared" si="346"/>
        <v>1</v>
      </c>
    </row>
    <row r="575" spans="1:26">
      <c r="A575" s="95">
        <v>16</v>
      </c>
      <c r="B575" s="95">
        <f>Singles!P128</f>
        <v>0</v>
      </c>
      <c r="C575" s="100" t="str">
        <f>IF(OR(LEFT(B575,LEN(B$17))=B$17,LEFT(B575,LEN(C$17))=C$17,LEN(B575)&lt;2),"","Wrong pick")</f>
        <v/>
      </c>
      <c r="D575" s="95">
        <f t="shared" ca="1" si="336"/>
        <v>0</v>
      </c>
      <c r="G575" s="95" t="str">
        <f>IF(B575=0,"",IF(LEFT(B575,LEN(B$17))=B$17,B$17,C$17))</f>
        <v/>
      </c>
      <c r="H575" s="95" t="str">
        <f t="shared" si="337"/>
        <v>0-0</v>
      </c>
      <c r="I575" s="95" t="str">
        <f ca="1">IF(AND(J575=Singles!$H$21,INDIRECT(ADDRESS(A575+1,6,1))=0,NOT(INDIRECT(ADDRESS(A575+1,5,1))="")),IF(D575=0,IF(H575=H593,"",G575&amp;" "&amp;H575&amp;" v "&amp;H593&amp;", "),G575&amp;" "&amp;H575&amp;" vs. "&amp;G593&amp;" "&amp;H593&amp;", "),"")</f>
        <v/>
      </c>
      <c r="J575" s="97">
        <f>Singles!H$18</f>
        <v>1</v>
      </c>
      <c r="K575" s="95" t="str">
        <f t="shared" si="338"/>
        <v>SR</v>
      </c>
      <c r="L575" s="95" t="str">
        <f t="shared" si="339"/>
        <v>0</v>
      </c>
      <c r="M575" s="95" t="str">
        <f t="shared" si="340"/>
        <v>0</v>
      </c>
      <c r="N575" s="95" t="str">
        <f t="shared" si="341"/>
        <v>0</v>
      </c>
      <c r="O575" s="95" t="str">
        <f t="shared" si="342"/>
        <v>0</v>
      </c>
      <c r="P575" s="95" t="str">
        <f t="shared" si="343"/>
        <v>0</v>
      </c>
      <c r="Q575" s="95">
        <f>IF(AND(G575=T$17,LEN(G575)&gt;1),1,0)</f>
        <v>0</v>
      </c>
      <c r="R575" s="97">
        <f>Singles!D$18</f>
        <v>16</v>
      </c>
      <c r="S575" s="95">
        <f>IF(AND(H575=H$17,LEN(H575)&gt;1,Q575=1),1,0)</f>
        <v>0</v>
      </c>
      <c r="V575" s="97">
        <f>VLOOKUP(16,X560:Y575,2,0)</f>
        <v>1</v>
      </c>
      <c r="X575" s="95">
        <f t="shared" si="344"/>
        <v>16</v>
      </c>
      <c r="Y575" s="95">
        <f t="shared" si="345"/>
        <v>1</v>
      </c>
      <c r="Z575" s="95">
        <f t="shared" si="346"/>
        <v>1</v>
      </c>
    </row>
    <row r="577" spans="1:26">
      <c r="A577" s="95" t="e">
        <f>IF(LEN(VLOOKUP(B577,Singles!$A$2:$B$33,2,0))&gt;0,VLOOKUP(B577,Singles!$A$2:$B$33,2,0),"")</f>
        <v>#N/A</v>
      </c>
      <c r="B577" s="96">
        <f>Singles!Q112</f>
        <v>0</v>
      </c>
      <c r="C577" s="96">
        <v>32</v>
      </c>
      <c r="D577" s="95" t="e">
        <f>VLOOKUP(B577,Singles!$A$2:$C$33,3,0)</f>
        <v>#N/A</v>
      </c>
      <c r="J577" s="95" t="s">
        <v>88</v>
      </c>
      <c r="Q577" s="95" t="s">
        <v>121</v>
      </c>
      <c r="S577" s="95" t="s">
        <v>122</v>
      </c>
      <c r="T577" s="95" t="e">
        <f>IF(LEN(A577)&gt;0,"("&amp;A577&amp;") "&amp;B577,B577)&amp;IF(LEN(D577)&gt;1," ("&amp;D577&amp;")","")</f>
        <v>#N/A</v>
      </c>
      <c r="V577" s="95" t="s">
        <v>123</v>
      </c>
      <c r="Y577" s="95" t="s">
        <v>123</v>
      </c>
    </row>
    <row r="578" spans="1:26">
      <c r="A578" s="95">
        <v>1</v>
      </c>
      <c r="B578" s="95">
        <f>Singles!Q113</f>
        <v>0</v>
      </c>
      <c r="C578" s="99" t="str">
        <f>IF(OR(LEFT(B578,LEN(B$2))=B$2,LEFT(B578,LEN(C$2))=C$2,LEN(B578)&lt;2),"","Wrong pick")</f>
        <v/>
      </c>
      <c r="E578" s="95" t="str">
        <f ca="1">IF(AND(D560=1,J578=$I$2),G578&amp;", ","")&amp;IF(AND(D561=1,J579=$I$2),G579&amp;", ","")&amp;IF(AND(D562=1,J580=$I$2),G580&amp;", ","")&amp;IF(AND(D563=1,J581=$I$2),G581&amp;", ","")&amp;IF(AND(D564=1,J582=$I$2),G582&amp;", ","")&amp;IF(AND(D565=1,J583=$I$2),G583&amp;", ","")&amp;IF(AND(D566=1,J584=$I$2),G584&amp;", ","")&amp;IF(AND(D567=1,J585=$I$2),G585&amp;", ","")&amp;IF(AND(D568=1,J586=$I$2),G586&amp;", ","")&amp;IF(AND(D569=1,J587=$I$2),G587&amp;", ","")&amp;IF(AND(D570=1,J588=$I$2),G588&amp;", ","")&amp;IF(AND(D571=1,J589=$I$2),G589&amp;", ","")&amp;IF(AND(D572=1,J590=$I$2),G590&amp;", ","")&amp;IF(AND(D573=1,J591=$I$2),G591&amp;", ","")&amp;IF(AND(D574=1,J592=$I$2),G592&amp;", ","")&amp;IF(AND(D575=1,J593=$I$2),G593&amp;", ","")</f>
        <v/>
      </c>
      <c r="F578" s="95" t="str">
        <f>IF(AND(SUM(Z578:Z593)=$I$4,NOT(B577="Bye")),"Missing picks from "&amp;B577&amp;" ","")</f>
        <v xml:space="preserve">Missing picks from 0 </v>
      </c>
      <c r="G578" s="95" t="str">
        <f>IF(B578=0,"",IF(LEFT(B578,LEN(B$2))=B$2,B$2,C$2))</f>
        <v/>
      </c>
      <c r="H578" s="95" t="str">
        <f t="shared" ref="H578:H593" si="347">IF(L578="","",IF(K578="PTS",IF(LEN(O578)&lt;8,"2-0","2-1"),LEFT(O578,1)&amp;"-"&amp;RIGHT(O578,1)))</f>
        <v>0-0</v>
      </c>
      <c r="J578" s="97">
        <f>Singles!H$3</f>
        <v>1</v>
      </c>
      <c r="K578" s="95" t="str">
        <f t="shared" ref="K578:K593" si="348">IF(LEN(L578)&gt;0,IF(LEN(O578)&lt;4,"SR","PTS"),"")</f>
        <v>SR</v>
      </c>
      <c r="L578" s="95" t="str">
        <f t="shared" ref="L578:L593" si="349">TRIM(RIGHT(B578,LEN(B578)-LEN(G578)))</f>
        <v>0</v>
      </c>
      <c r="M578" s="95" t="str">
        <f t="shared" ref="M578:M593" si="350">SUBSTITUTE(L578,"-","")</f>
        <v>0</v>
      </c>
      <c r="N578" s="95" t="str">
        <f t="shared" ref="N578:N593" si="351">SUBSTITUTE(M578,","," ")</f>
        <v>0</v>
      </c>
      <c r="O578" s="95" t="str">
        <f t="shared" ref="O578:O593" si="352">IF(AND(LEN(TRIM(SUBSTITUTE(P578,"/","")))&gt;6,OR(LEFT(TRIM(SUBSTITUTE(P578,"/","")),2)="20",LEFT(TRIM(SUBSTITUTE(P578,"/","")),2)="21")),RIGHT(TRIM(SUBSTITUTE(P578,"/","")),LEN(TRIM(SUBSTITUTE(P578,"/","")))-3),TRIM(SUBSTITUTE(P578,"/","")))</f>
        <v>0</v>
      </c>
      <c r="P578" s="95" t="str">
        <f t="shared" ref="P578:P593" si="353">SUBSTITUTE(N578,":","")</f>
        <v>0</v>
      </c>
      <c r="Q578" s="95">
        <f>IF(AND(G578=T$2,LEN(G578)&gt;1),1,0)</f>
        <v>0</v>
      </c>
      <c r="R578" s="97">
        <f>Singles!D$3</f>
        <v>1</v>
      </c>
      <c r="S578" s="95">
        <f>IF(AND(H578=H$2,LEN(H578)&gt;1,Q578=1),1,0)</f>
        <v>0</v>
      </c>
      <c r="T578" s="95" t="str">
        <f t="shared" ref="T578:T593" si="354">IF(V560=V578,"No","Winner")</f>
        <v>No</v>
      </c>
      <c r="U578" s="95" t="str">
        <f>IF(T578="Winner",IF(V578&gt;V560,B577,B559),"")</f>
        <v/>
      </c>
      <c r="V578" s="97">
        <f>VLOOKUP(1,X578:Y593,2,0)</f>
        <v>1</v>
      </c>
      <c r="W578" s="95">
        <v>1</v>
      </c>
      <c r="X578" s="95">
        <f t="shared" ref="X578:X593" si="355">R578</f>
        <v>1</v>
      </c>
      <c r="Y578" s="95">
        <f t="shared" ref="Y578:Y593" si="356">IF(Q578=1,IF(S578=1,4,3),IF(H578="2-1",2,1))</f>
        <v>1</v>
      </c>
      <c r="Z578" s="95">
        <f t="shared" ref="Z578:Z593" si="357">IF(AND($I$2=J578,B578=0),1,0)</f>
        <v>1</v>
      </c>
    </row>
    <row r="579" spans="1:26">
      <c r="A579" s="95">
        <v>2</v>
      </c>
      <c r="B579" s="95">
        <f>Singles!Q114</f>
        <v>0</v>
      </c>
      <c r="C579" s="100" t="str">
        <f>IF(OR(LEFT(B579,LEN(B$3))=B$3,LEFT(B579,LEN(C$3))=C$3,LEN(B579)&lt;2),"","Wrong pick")</f>
        <v/>
      </c>
      <c r="G579" s="95" t="str">
        <f>IF(B579=0,"",IF(LEFT(B579,LEN(B$3))=B$3,B$3,C$3))</f>
        <v/>
      </c>
      <c r="H579" s="95" t="str">
        <f t="shared" si="347"/>
        <v>0-0</v>
      </c>
      <c r="J579" s="97">
        <f>Singles!H$4</f>
        <v>1</v>
      </c>
      <c r="K579" s="95" t="str">
        <f t="shared" si="348"/>
        <v>SR</v>
      </c>
      <c r="L579" s="95" t="str">
        <f t="shared" si="349"/>
        <v>0</v>
      </c>
      <c r="M579" s="95" t="str">
        <f t="shared" si="350"/>
        <v>0</v>
      </c>
      <c r="N579" s="95" t="str">
        <f t="shared" si="351"/>
        <v>0</v>
      </c>
      <c r="O579" s="95" t="str">
        <f t="shared" si="352"/>
        <v>0</v>
      </c>
      <c r="P579" s="95" t="str">
        <f t="shared" si="353"/>
        <v>0</v>
      </c>
      <c r="Q579" s="95">
        <f>IF(AND(G579=T$3,LEN(G579)&gt;1),1,0)</f>
        <v>0</v>
      </c>
      <c r="R579" s="97">
        <f>Singles!D$4</f>
        <v>2</v>
      </c>
      <c r="S579" s="95">
        <f>IF(AND(H579=H$3,LEN(H579)&gt;1,Q579=1),1,0)</f>
        <v>0</v>
      </c>
      <c r="T579" s="95" t="str">
        <f t="shared" si="354"/>
        <v>No</v>
      </c>
      <c r="U579" s="95" t="str">
        <f>IF(T579="Winner",IF(V579&gt;V561,B577,B559),"")</f>
        <v/>
      </c>
      <c r="V579" s="97">
        <f>VLOOKUP(2,X578:Y593,2,0)</f>
        <v>1</v>
      </c>
      <c r="W579" s="95">
        <v>2</v>
      </c>
      <c r="X579" s="95">
        <f t="shared" si="355"/>
        <v>2</v>
      </c>
      <c r="Y579" s="95">
        <f t="shared" si="356"/>
        <v>1</v>
      </c>
      <c r="Z579" s="95">
        <f t="shared" si="357"/>
        <v>1</v>
      </c>
    </row>
    <row r="580" spans="1:26">
      <c r="A580" s="95">
        <v>3</v>
      </c>
      <c r="B580" s="95">
        <f>Singles!Q115</f>
        <v>0</v>
      </c>
      <c r="C580" s="100" t="str">
        <f>IF(OR(LEFT(B580,LEN(B$4))=B$4,LEFT(B580,LEN(C$4))=C$4,LEN(B580)&lt;2),"","Wrong pick")</f>
        <v/>
      </c>
      <c r="G580" s="95" t="str">
        <f>IF(B580=0,"",IF(LEFT(B580,LEN(B$4))=B$4,B$4,C$4))</f>
        <v/>
      </c>
      <c r="H580" s="95" t="str">
        <f t="shared" si="347"/>
        <v>0-0</v>
      </c>
      <c r="J580" s="97">
        <f>Singles!H$5</f>
        <v>1</v>
      </c>
      <c r="K580" s="95" t="str">
        <f t="shared" si="348"/>
        <v>SR</v>
      </c>
      <c r="L580" s="95" t="str">
        <f t="shared" si="349"/>
        <v>0</v>
      </c>
      <c r="M580" s="95" t="str">
        <f t="shared" si="350"/>
        <v>0</v>
      </c>
      <c r="N580" s="95" t="str">
        <f t="shared" si="351"/>
        <v>0</v>
      </c>
      <c r="O580" s="95" t="str">
        <f t="shared" si="352"/>
        <v>0</v>
      </c>
      <c r="P580" s="95" t="str">
        <f t="shared" si="353"/>
        <v>0</v>
      </c>
      <c r="Q580" s="95">
        <f>IF(AND(G580=T$4,LEN(G580)&gt;1),1,0)</f>
        <v>0</v>
      </c>
      <c r="R580" s="97">
        <f>Singles!D$5</f>
        <v>3</v>
      </c>
      <c r="S580" s="95">
        <f>IF(AND(H580=H$4,LEN(H580)&gt;1,Q580=1),1,0)</f>
        <v>0</v>
      </c>
      <c r="T580" s="95" t="str">
        <f t="shared" si="354"/>
        <v>No</v>
      </c>
      <c r="U580" s="95" t="str">
        <f>IF(T580="Winner",IF(V580&gt;V562,B577,B559),"")</f>
        <v/>
      </c>
      <c r="V580" s="97">
        <f>VLOOKUP(3,X578:Y593,2,0)</f>
        <v>1</v>
      </c>
      <c r="W580" s="95">
        <v>3</v>
      </c>
      <c r="X580" s="95">
        <f t="shared" si="355"/>
        <v>3</v>
      </c>
      <c r="Y580" s="95">
        <f t="shared" si="356"/>
        <v>1</v>
      </c>
      <c r="Z580" s="95">
        <f t="shared" si="357"/>
        <v>1</v>
      </c>
    </row>
    <row r="581" spans="1:26">
      <c r="A581" s="95">
        <v>4</v>
      </c>
      <c r="B581" s="95">
        <f>Singles!Q116</f>
        <v>0</v>
      </c>
      <c r="C581" s="100" t="str">
        <f>IF(OR(LEFT(B581,LEN(B$5))=B$5,LEFT(B581,LEN(C$5))=C$5,LEN(B581)&lt;2),"","Wrong pick")</f>
        <v/>
      </c>
      <c r="G581" s="95" t="str">
        <f>IF(B581=0,"",IF(LEFT(B581,LEN(B$5))=B$5,B$5,C$5))</f>
        <v/>
      </c>
      <c r="H581" s="95" t="str">
        <f t="shared" si="347"/>
        <v>0-0</v>
      </c>
      <c r="J581" s="97">
        <f>Singles!H$6</f>
        <v>1</v>
      </c>
      <c r="K581" s="95" t="str">
        <f t="shared" si="348"/>
        <v>SR</v>
      </c>
      <c r="L581" s="95" t="str">
        <f t="shared" si="349"/>
        <v>0</v>
      </c>
      <c r="M581" s="95" t="str">
        <f t="shared" si="350"/>
        <v>0</v>
      </c>
      <c r="N581" s="95" t="str">
        <f t="shared" si="351"/>
        <v>0</v>
      </c>
      <c r="O581" s="95" t="str">
        <f t="shared" si="352"/>
        <v>0</v>
      </c>
      <c r="P581" s="95" t="str">
        <f t="shared" si="353"/>
        <v>0</v>
      </c>
      <c r="Q581" s="95">
        <f>IF(AND(G581=T$5,LEN(G581)&gt;1),1,0)</f>
        <v>0</v>
      </c>
      <c r="R581" s="97">
        <f>Singles!D$6</f>
        <v>4</v>
      </c>
      <c r="S581" s="95">
        <f>IF(AND(H581=H$5,LEN(H581)&gt;1,Q581=1),1,0)</f>
        <v>0</v>
      </c>
      <c r="T581" s="95" t="str">
        <f t="shared" si="354"/>
        <v>No</v>
      </c>
      <c r="U581" s="95" t="str">
        <f>IF(T581="Winner",IF(V581&gt;V563,B577,B559),"")</f>
        <v/>
      </c>
      <c r="V581" s="97">
        <f>VLOOKUP(4,X578:Y593,2,0)</f>
        <v>1</v>
      </c>
      <c r="W581" s="95">
        <v>4</v>
      </c>
      <c r="X581" s="95">
        <f t="shared" si="355"/>
        <v>4</v>
      </c>
      <c r="Y581" s="95">
        <f t="shared" si="356"/>
        <v>1</v>
      </c>
      <c r="Z581" s="95">
        <f t="shared" si="357"/>
        <v>1</v>
      </c>
    </row>
    <row r="582" spans="1:26">
      <c r="A582" s="95">
        <v>5</v>
      </c>
      <c r="B582" s="95">
        <f>Singles!Q117</f>
        <v>0</v>
      </c>
      <c r="C582" s="100" t="str">
        <f>IF(OR(LEFT(B582,LEN(B$6))=B$6,LEFT(B582,LEN(C$6))=C$6,LEN(B582)&lt;2),"","Wrong pick")</f>
        <v/>
      </c>
      <c r="G582" s="95" t="str">
        <f>IF(B582=0,"",IF(LEFT(B582,LEN(B$6))=B$6,B$6,C$6))</f>
        <v/>
      </c>
      <c r="H582" s="95" t="str">
        <f t="shared" si="347"/>
        <v>0-0</v>
      </c>
      <c r="J582" s="97">
        <f>Singles!H$7</f>
        <v>1</v>
      </c>
      <c r="K582" s="95" t="str">
        <f t="shared" si="348"/>
        <v>SR</v>
      </c>
      <c r="L582" s="95" t="str">
        <f t="shared" si="349"/>
        <v>0</v>
      </c>
      <c r="M582" s="95" t="str">
        <f t="shared" si="350"/>
        <v>0</v>
      </c>
      <c r="N582" s="95" t="str">
        <f t="shared" si="351"/>
        <v>0</v>
      </c>
      <c r="O582" s="95" t="str">
        <f t="shared" si="352"/>
        <v>0</v>
      </c>
      <c r="P582" s="95" t="str">
        <f t="shared" si="353"/>
        <v>0</v>
      </c>
      <c r="Q582" s="95">
        <f>IF(AND(G582=T$6,LEN(G582)&gt;1),1,0)</f>
        <v>0</v>
      </c>
      <c r="R582" s="97">
        <f>Singles!D$7</f>
        <v>5</v>
      </c>
      <c r="S582" s="95">
        <f>IF(AND(H582=H$6,LEN(H582)&gt;1,Q582=1),1,0)</f>
        <v>0</v>
      </c>
      <c r="T582" s="95" t="str">
        <f t="shared" si="354"/>
        <v>No</v>
      </c>
      <c r="U582" s="95" t="str">
        <f>IF(T582="Winner",IF(V582&gt;V564,B577,B559),"")</f>
        <v/>
      </c>
      <c r="V582" s="97">
        <f>VLOOKUP(5,X578:Y593,2,0)</f>
        <v>1</v>
      </c>
      <c r="W582" s="95">
        <v>5</v>
      </c>
      <c r="X582" s="95">
        <f t="shared" si="355"/>
        <v>5</v>
      </c>
      <c r="Y582" s="95">
        <f t="shared" si="356"/>
        <v>1</v>
      </c>
      <c r="Z582" s="95">
        <f t="shared" si="357"/>
        <v>1</v>
      </c>
    </row>
    <row r="583" spans="1:26">
      <c r="A583" s="95">
        <v>6</v>
      </c>
      <c r="B583" s="95">
        <f>Singles!Q118</f>
        <v>0</v>
      </c>
      <c r="C583" s="100" t="str">
        <f>IF(OR(LEFT(B583,LEN(B$7))=B$7,LEFT(B583,LEN(C$7))=C$7,LEN(B583)&lt;2),"","Wrong pick")</f>
        <v/>
      </c>
      <c r="G583" s="95" t="str">
        <f>IF(B583=0,"",IF(LEFT(B583,LEN(B$7))=B$7,B$7,C$7))</f>
        <v/>
      </c>
      <c r="H583" s="95" t="str">
        <f t="shared" si="347"/>
        <v>0-0</v>
      </c>
      <c r="J583" s="97">
        <f>Singles!H$8</f>
        <v>1</v>
      </c>
      <c r="K583" s="95" t="str">
        <f t="shared" si="348"/>
        <v>SR</v>
      </c>
      <c r="L583" s="95" t="str">
        <f t="shared" si="349"/>
        <v>0</v>
      </c>
      <c r="M583" s="95" t="str">
        <f t="shared" si="350"/>
        <v>0</v>
      </c>
      <c r="N583" s="95" t="str">
        <f t="shared" si="351"/>
        <v>0</v>
      </c>
      <c r="O583" s="95" t="str">
        <f t="shared" si="352"/>
        <v>0</v>
      </c>
      <c r="P583" s="95" t="str">
        <f t="shared" si="353"/>
        <v>0</v>
      </c>
      <c r="Q583" s="95">
        <f>IF(AND(G583=T$7,LEN(G583)&gt;1),1,0)</f>
        <v>0</v>
      </c>
      <c r="R583" s="97">
        <f>Singles!D$8</f>
        <v>6</v>
      </c>
      <c r="S583" s="95">
        <f>IF(AND(H583=H$7,LEN(H583)&gt;1,Q583=1),1,0)</f>
        <v>0</v>
      </c>
      <c r="T583" s="95" t="str">
        <f t="shared" si="354"/>
        <v>No</v>
      </c>
      <c r="U583" s="95" t="str">
        <f>IF(T583="Winner",IF(V583&gt;V565,B577,B559),"")</f>
        <v/>
      </c>
      <c r="V583" s="97">
        <f>VLOOKUP(6,X578:Y593,2,0)</f>
        <v>1</v>
      </c>
      <c r="W583" s="95">
        <v>6</v>
      </c>
      <c r="X583" s="95">
        <f t="shared" si="355"/>
        <v>6</v>
      </c>
      <c r="Y583" s="95">
        <f t="shared" si="356"/>
        <v>1</v>
      </c>
      <c r="Z583" s="95">
        <f t="shared" si="357"/>
        <v>1</v>
      </c>
    </row>
    <row r="584" spans="1:26">
      <c r="A584" s="95">
        <v>7</v>
      </c>
      <c r="B584" s="95">
        <f>Singles!Q119</f>
        <v>0</v>
      </c>
      <c r="C584" s="100" t="str">
        <f>IF(OR(LEFT(B584,LEN(B$8))=B$8,LEFT(B584,LEN(C$8))=C$8,LEN(B584)&lt;2),"","Wrong pick")</f>
        <v/>
      </c>
      <c r="G584" s="95" t="str">
        <f>IF(B584=0,"",IF(LEFT(B584,LEN(B$8))=B$8,B$8,C$8))</f>
        <v/>
      </c>
      <c r="H584" s="95" t="str">
        <f t="shared" si="347"/>
        <v>0-0</v>
      </c>
      <c r="J584" s="97">
        <f>Singles!H$9</f>
        <v>1</v>
      </c>
      <c r="K584" s="95" t="str">
        <f t="shared" si="348"/>
        <v>SR</v>
      </c>
      <c r="L584" s="95" t="str">
        <f t="shared" si="349"/>
        <v>0</v>
      </c>
      <c r="M584" s="95" t="str">
        <f t="shared" si="350"/>
        <v>0</v>
      </c>
      <c r="N584" s="95" t="str">
        <f t="shared" si="351"/>
        <v>0</v>
      </c>
      <c r="O584" s="95" t="str">
        <f t="shared" si="352"/>
        <v>0</v>
      </c>
      <c r="P584" s="95" t="str">
        <f t="shared" si="353"/>
        <v>0</v>
      </c>
      <c r="Q584" s="95">
        <f>IF(AND(G584=T$8,LEN(G584)&gt;1),1,0)</f>
        <v>0</v>
      </c>
      <c r="R584" s="97">
        <f>Singles!D$9</f>
        <v>7</v>
      </c>
      <c r="S584" s="95">
        <f>IF(AND(H584=H$8,LEN(H584)&gt;1,Q584=1),1,0)</f>
        <v>0</v>
      </c>
      <c r="T584" s="95" t="str">
        <f t="shared" si="354"/>
        <v>No</v>
      </c>
      <c r="U584" s="95" t="str">
        <f>IF(T584="Winner",IF(V584&gt;V566,B577,B559),"")</f>
        <v/>
      </c>
      <c r="V584" s="97">
        <f>VLOOKUP(7,X578:Y593,2,0)</f>
        <v>1</v>
      </c>
      <c r="W584" s="95">
        <v>7</v>
      </c>
      <c r="X584" s="95">
        <f t="shared" si="355"/>
        <v>7</v>
      </c>
      <c r="Y584" s="95">
        <f t="shared" si="356"/>
        <v>1</v>
      </c>
      <c r="Z584" s="95">
        <f t="shared" si="357"/>
        <v>1</v>
      </c>
    </row>
    <row r="585" spans="1:26">
      <c r="A585" s="95">
        <v>8</v>
      </c>
      <c r="B585" s="95">
        <f>Singles!Q120</f>
        <v>0</v>
      </c>
      <c r="C585" s="100" t="str">
        <f>IF(OR(LEFT(B585,LEN(B$9))=B$9,LEFT(B585,LEN(C$9))=C$9,LEN(B585)&lt;2),"","Wrong pick")</f>
        <v/>
      </c>
      <c r="G585" s="95" t="str">
        <f>IF(B585=0,"",IF(LEFT(B585,LEN(B$9))=B$9,B$9,C$9))</f>
        <v/>
      </c>
      <c r="H585" s="95" t="str">
        <f t="shared" si="347"/>
        <v>0-0</v>
      </c>
      <c r="J585" s="97">
        <f>Singles!H$10</f>
        <v>1</v>
      </c>
      <c r="K585" s="95" t="str">
        <f t="shared" si="348"/>
        <v>SR</v>
      </c>
      <c r="L585" s="95" t="str">
        <f t="shared" si="349"/>
        <v>0</v>
      </c>
      <c r="M585" s="95" t="str">
        <f t="shared" si="350"/>
        <v>0</v>
      </c>
      <c r="N585" s="95" t="str">
        <f t="shared" si="351"/>
        <v>0</v>
      </c>
      <c r="O585" s="95" t="str">
        <f t="shared" si="352"/>
        <v>0</v>
      </c>
      <c r="P585" s="95" t="str">
        <f t="shared" si="353"/>
        <v>0</v>
      </c>
      <c r="Q585" s="95">
        <f>IF(AND(G585=T$9,LEN(G585)&gt;1),1,0)</f>
        <v>0</v>
      </c>
      <c r="R585" s="97">
        <f>Singles!D$10</f>
        <v>8</v>
      </c>
      <c r="S585" s="95">
        <f>IF(AND(H585=H$9,LEN(H585)&gt;1,Q585=1),1,0)</f>
        <v>0</v>
      </c>
      <c r="T585" s="95" t="str">
        <f t="shared" si="354"/>
        <v>No</v>
      </c>
      <c r="U585" s="95" t="str">
        <f>IF(T585="Winner",IF(V585&gt;V567,B577,B559),"")</f>
        <v/>
      </c>
      <c r="V585" s="97">
        <f>VLOOKUP(8,X578:Y593,2,0)</f>
        <v>1</v>
      </c>
      <c r="W585" s="95">
        <v>8</v>
      </c>
      <c r="X585" s="95">
        <f t="shared" si="355"/>
        <v>8</v>
      </c>
      <c r="Y585" s="95">
        <f t="shared" si="356"/>
        <v>1</v>
      </c>
      <c r="Z585" s="95">
        <f t="shared" si="357"/>
        <v>1</v>
      </c>
    </row>
    <row r="586" spans="1:26">
      <c r="A586" s="95">
        <v>9</v>
      </c>
      <c r="B586" s="95">
        <f>Singles!Q121</f>
        <v>0</v>
      </c>
      <c r="C586" s="100" t="str">
        <f>IF(OR(LEFT(B586,LEN(B$10))=B$10,LEFT(B586,LEN(C$10))=C$10,LEN(B586)&lt;2),"","Wrong pick")</f>
        <v/>
      </c>
      <c r="G586" s="95" t="str">
        <f>IF(B586=0,"",IF(LEFT(B586,LEN(B$10))=B$10,B$10,C$10))</f>
        <v/>
      </c>
      <c r="H586" s="95" t="str">
        <f t="shared" si="347"/>
        <v>0-0</v>
      </c>
      <c r="J586" s="97">
        <f>Singles!H$11</f>
        <v>1</v>
      </c>
      <c r="K586" s="95" t="str">
        <f t="shared" si="348"/>
        <v>SR</v>
      </c>
      <c r="L586" s="95" t="str">
        <f t="shared" si="349"/>
        <v>0</v>
      </c>
      <c r="M586" s="95" t="str">
        <f t="shared" si="350"/>
        <v>0</v>
      </c>
      <c r="N586" s="95" t="str">
        <f t="shared" si="351"/>
        <v>0</v>
      </c>
      <c r="O586" s="95" t="str">
        <f t="shared" si="352"/>
        <v>0</v>
      </c>
      <c r="P586" s="95" t="str">
        <f t="shared" si="353"/>
        <v>0</v>
      </c>
      <c r="Q586" s="95">
        <f>IF(AND(G586=T$10,LEN(G586)&gt;1),1,0)</f>
        <v>0</v>
      </c>
      <c r="R586" s="97">
        <f>Singles!D$11</f>
        <v>9</v>
      </c>
      <c r="S586" s="95">
        <f>IF(AND(H586=H$10,LEN(H586)&gt;1,Q586=1),1,0)</f>
        <v>0</v>
      </c>
      <c r="T586" s="95" t="str">
        <f t="shared" si="354"/>
        <v>No</v>
      </c>
      <c r="U586" s="95" t="str">
        <f>IF(T586="Winner",IF(V586&gt;V568,B577,B559),"")</f>
        <v/>
      </c>
      <c r="V586" s="97">
        <f>VLOOKUP(9,X578:Y593,2,0)</f>
        <v>1</v>
      </c>
      <c r="W586" s="95">
        <v>9</v>
      </c>
      <c r="X586" s="95">
        <f t="shared" si="355"/>
        <v>9</v>
      </c>
      <c r="Y586" s="95">
        <f t="shared" si="356"/>
        <v>1</v>
      </c>
      <c r="Z586" s="95">
        <f t="shared" si="357"/>
        <v>1</v>
      </c>
    </row>
    <row r="587" spans="1:26">
      <c r="A587" s="95">
        <v>10</v>
      </c>
      <c r="B587" s="95">
        <f>Singles!Q122</f>
        <v>0</v>
      </c>
      <c r="C587" s="100" t="str">
        <f>IF(OR(LEFT(B587,LEN(B$11))=B$11,LEFT(B587,LEN(C$11))=C$11,LEN(B587)&lt;2),"","Wrong pick")</f>
        <v/>
      </c>
      <c r="G587" s="95" t="str">
        <f>IF(B587=0,"",IF(LEFT(B587,LEN(B$11))=B$11,B$11,C$11))</f>
        <v/>
      </c>
      <c r="H587" s="95" t="str">
        <f t="shared" si="347"/>
        <v>0-0</v>
      </c>
      <c r="J587" s="97">
        <f>Singles!H$12</f>
        <v>1</v>
      </c>
      <c r="K587" s="95" t="str">
        <f t="shared" si="348"/>
        <v>SR</v>
      </c>
      <c r="L587" s="95" t="str">
        <f t="shared" si="349"/>
        <v>0</v>
      </c>
      <c r="M587" s="95" t="str">
        <f t="shared" si="350"/>
        <v>0</v>
      </c>
      <c r="N587" s="95" t="str">
        <f t="shared" si="351"/>
        <v>0</v>
      </c>
      <c r="O587" s="95" t="str">
        <f t="shared" si="352"/>
        <v>0</v>
      </c>
      <c r="P587" s="95" t="str">
        <f t="shared" si="353"/>
        <v>0</v>
      </c>
      <c r="Q587" s="95">
        <f>IF(AND(G587=T$11,LEN(G587)&gt;1),1,0)</f>
        <v>0</v>
      </c>
      <c r="R587" s="97">
        <f>Singles!D$12</f>
        <v>10</v>
      </c>
      <c r="S587" s="95">
        <f>IF(AND(H587=H$11,LEN(H587)&gt;1,Q587=1),1,0)</f>
        <v>0</v>
      </c>
      <c r="T587" s="95" t="str">
        <f t="shared" si="354"/>
        <v>No</v>
      </c>
      <c r="U587" s="95" t="str">
        <f>IF(T587="Winner",IF(V587&gt;V569,B577,B559),"")</f>
        <v/>
      </c>
      <c r="V587" s="97">
        <f>VLOOKUP(10,X578:Y593,2,0)</f>
        <v>1</v>
      </c>
      <c r="W587" s="95">
        <v>10</v>
      </c>
      <c r="X587" s="95">
        <f t="shared" si="355"/>
        <v>10</v>
      </c>
      <c r="Y587" s="95">
        <f t="shared" si="356"/>
        <v>1</v>
      </c>
      <c r="Z587" s="95">
        <f t="shared" si="357"/>
        <v>1</v>
      </c>
    </row>
    <row r="588" spans="1:26">
      <c r="A588" s="95">
        <v>11</v>
      </c>
      <c r="B588" s="95">
        <f>Singles!Q123</f>
        <v>0</v>
      </c>
      <c r="C588" s="100" t="str">
        <f>IF(OR(LEFT(B588,LEN(B$12))=B$12,LEFT(B588,LEN(C$12))=C$12,LEN(B588)&lt;2),"","Wrong pick")</f>
        <v/>
      </c>
      <c r="G588" s="95" t="str">
        <f>IF(B588=0,"",IF(LEFT(B588,LEN(B$12))=B$12,B$12,C$12))</f>
        <v/>
      </c>
      <c r="H588" s="95" t="str">
        <f t="shared" si="347"/>
        <v>0-0</v>
      </c>
      <c r="J588" s="97">
        <f>Singles!H$13</f>
        <v>1</v>
      </c>
      <c r="K588" s="95" t="str">
        <f t="shared" si="348"/>
        <v>SR</v>
      </c>
      <c r="L588" s="95" t="str">
        <f t="shared" si="349"/>
        <v>0</v>
      </c>
      <c r="M588" s="95" t="str">
        <f t="shared" si="350"/>
        <v>0</v>
      </c>
      <c r="N588" s="95" t="str">
        <f t="shared" si="351"/>
        <v>0</v>
      </c>
      <c r="O588" s="95" t="str">
        <f t="shared" si="352"/>
        <v>0</v>
      </c>
      <c r="P588" s="95" t="str">
        <f t="shared" si="353"/>
        <v>0</v>
      </c>
      <c r="Q588" s="95">
        <f>IF(AND(G588=T$12,LEN(G588)&gt;1),1,0)</f>
        <v>0</v>
      </c>
      <c r="R588" s="97">
        <f>Singles!D$13</f>
        <v>11</v>
      </c>
      <c r="S588" s="95">
        <f>IF(AND(H588=H$12,LEN(H588)&gt;1,Q588=1),1,0)</f>
        <v>0</v>
      </c>
      <c r="T588" s="95" t="str">
        <f t="shared" si="354"/>
        <v>No</v>
      </c>
      <c r="U588" s="95" t="str">
        <f>IF(T588="Winner",IF(V588&gt;V570,B577,B559),"")</f>
        <v/>
      </c>
      <c r="V588" s="97">
        <f>VLOOKUP(11,X578:Y593,2,0)</f>
        <v>1</v>
      </c>
      <c r="W588" s="95">
        <v>11</v>
      </c>
      <c r="X588" s="95">
        <f t="shared" si="355"/>
        <v>11</v>
      </c>
      <c r="Y588" s="95">
        <f t="shared" si="356"/>
        <v>1</v>
      </c>
      <c r="Z588" s="95">
        <f t="shared" si="357"/>
        <v>1</v>
      </c>
    </row>
    <row r="589" spans="1:26">
      <c r="A589" s="95">
        <v>12</v>
      </c>
      <c r="B589" s="95">
        <f>Singles!Q124</f>
        <v>0</v>
      </c>
      <c r="C589" s="100" t="str">
        <f>IF(OR(LEFT(B589,LEN(B$13))=B$13,LEFT(B589,LEN(C$13))=C$13,LEN(B589)&lt;2),"","Wrong pick")</f>
        <v/>
      </c>
      <c r="G589" s="95" t="str">
        <f>IF(B589=0,"",IF(LEFT(B589,LEN(B$13))=B$13,B$13,C$13))</f>
        <v/>
      </c>
      <c r="H589" s="95" t="str">
        <f t="shared" si="347"/>
        <v>0-0</v>
      </c>
      <c r="J589" s="97">
        <f>Singles!H$14</f>
        <v>1</v>
      </c>
      <c r="K589" s="95" t="str">
        <f t="shared" si="348"/>
        <v>SR</v>
      </c>
      <c r="L589" s="95" t="str">
        <f t="shared" si="349"/>
        <v>0</v>
      </c>
      <c r="M589" s="95" t="str">
        <f t="shared" si="350"/>
        <v>0</v>
      </c>
      <c r="N589" s="95" t="str">
        <f t="shared" si="351"/>
        <v>0</v>
      </c>
      <c r="O589" s="95" t="str">
        <f t="shared" si="352"/>
        <v>0</v>
      </c>
      <c r="P589" s="95" t="str">
        <f t="shared" si="353"/>
        <v>0</v>
      </c>
      <c r="Q589" s="95">
        <f>IF(AND(G589=T$13,LEN(G589)&gt;1),1,0)</f>
        <v>0</v>
      </c>
      <c r="R589" s="97">
        <f>Singles!D$14</f>
        <v>12</v>
      </c>
      <c r="S589" s="95">
        <f>IF(AND(H589=H$13,LEN(H589)&gt;1,Q589=1),1,0)</f>
        <v>0</v>
      </c>
      <c r="T589" s="95" t="str">
        <f t="shared" si="354"/>
        <v>No</v>
      </c>
      <c r="U589" s="95" t="str">
        <f>IF(T589="Winner",IF(V589&gt;V571,B577,B559),"")</f>
        <v/>
      </c>
      <c r="V589" s="97">
        <f>VLOOKUP(12,X578:Y593,2,0)</f>
        <v>1</v>
      </c>
      <c r="W589" s="95">
        <v>12</v>
      </c>
      <c r="X589" s="95">
        <f t="shared" si="355"/>
        <v>12</v>
      </c>
      <c r="Y589" s="95">
        <f t="shared" si="356"/>
        <v>1</v>
      </c>
      <c r="Z589" s="95">
        <f t="shared" si="357"/>
        <v>1</v>
      </c>
    </row>
    <row r="590" spans="1:26">
      <c r="A590" s="95">
        <v>13</v>
      </c>
      <c r="B590" s="95">
        <f>Singles!Q125</f>
        <v>0</v>
      </c>
      <c r="C590" s="100" t="str">
        <f>IF(OR(LEFT(B590,LEN(B$14))=B$14,LEFT(B590,LEN(C$14))=C$14,LEN(B590)&lt;2),"","Wrong pick")</f>
        <v/>
      </c>
      <c r="G590" s="95" t="str">
        <f>IF(B590=0,"",IF(LEFT(B590,LEN(B$14))=B$14,B$14,C$14))</f>
        <v/>
      </c>
      <c r="H590" s="95" t="str">
        <f t="shared" si="347"/>
        <v>0-0</v>
      </c>
      <c r="J590" s="97">
        <f>Singles!H$15</f>
        <v>1</v>
      </c>
      <c r="K590" s="95" t="str">
        <f t="shared" si="348"/>
        <v>SR</v>
      </c>
      <c r="L590" s="95" t="str">
        <f t="shared" si="349"/>
        <v>0</v>
      </c>
      <c r="M590" s="95" t="str">
        <f t="shared" si="350"/>
        <v>0</v>
      </c>
      <c r="N590" s="95" t="str">
        <f t="shared" si="351"/>
        <v>0</v>
      </c>
      <c r="O590" s="95" t="str">
        <f t="shared" si="352"/>
        <v>0</v>
      </c>
      <c r="P590" s="95" t="str">
        <f t="shared" si="353"/>
        <v>0</v>
      </c>
      <c r="Q590" s="95">
        <f>IF(AND(G590=T$14,LEN(G590)&gt;1),1,0)</f>
        <v>0</v>
      </c>
      <c r="R590" s="97">
        <f>Singles!D$15</f>
        <v>13</v>
      </c>
      <c r="S590" s="95">
        <f>IF(AND(H590=H$14,LEN(H590)&gt;1,Q590=1),1,0)</f>
        <v>0</v>
      </c>
      <c r="T590" s="95" t="str">
        <f t="shared" si="354"/>
        <v>No</v>
      </c>
      <c r="U590" s="95" t="str">
        <f>IF(T590="Winner",IF(V590&gt;V572,B577,B559),"")</f>
        <v/>
      </c>
      <c r="V590" s="97">
        <f>VLOOKUP(13,X578:Y593,2,0)</f>
        <v>1</v>
      </c>
      <c r="W590" s="95">
        <v>13</v>
      </c>
      <c r="X590" s="95">
        <f t="shared" si="355"/>
        <v>13</v>
      </c>
      <c r="Y590" s="95">
        <f t="shared" si="356"/>
        <v>1</v>
      </c>
      <c r="Z590" s="95">
        <f t="shared" si="357"/>
        <v>1</v>
      </c>
    </row>
    <row r="591" spans="1:26">
      <c r="A591" s="95">
        <v>14</v>
      </c>
      <c r="B591" s="95">
        <f>Singles!Q126</f>
        <v>0</v>
      </c>
      <c r="C591" s="100" t="str">
        <f>IF(OR(LEFT(B591,LEN(B$15))=B$15,LEFT(B591,LEN(C$15))=C$15,LEN(B591)&lt;2),"","Wrong pick")</f>
        <v/>
      </c>
      <c r="G591" s="95" t="str">
        <f>IF(B591=0,"",IF(LEFT(B591,LEN(B$15))=B$15,B$15,C$15))</f>
        <v/>
      </c>
      <c r="H591" s="95" t="str">
        <f t="shared" si="347"/>
        <v>0-0</v>
      </c>
      <c r="J591" s="97">
        <f>Singles!H$16</f>
        <v>1</v>
      </c>
      <c r="K591" s="95" t="str">
        <f t="shared" si="348"/>
        <v>SR</v>
      </c>
      <c r="L591" s="95" t="str">
        <f t="shared" si="349"/>
        <v>0</v>
      </c>
      <c r="M591" s="95" t="str">
        <f t="shared" si="350"/>
        <v>0</v>
      </c>
      <c r="N591" s="95" t="str">
        <f t="shared" si="351"/>
        <v>0</v>
      </c>
      <c r="O591" s="95" t="str">
        <f t="shared" si="352"/>
        <v>0</v>
      </c>
      <c r="P591" s="95" t="str">
        <f t="shared" si="353"/>
        <v>0</v>
      </c>
      <c r="Q591" s="95">
        <f>IF(AND(G591=T$15,LEN(G591)&gt;1),1,0)</f>
        <v>0</v>
      </c>
      <c r="R591" s="97">
        <f>Singles!D$16</f>
        <v>14</v>
      </c>
      <c r="S591" s="95">
        <f>IF(AND(H591=H$15,LEN(H591)&gt;1,Q591=1),1,0)</f>
        <v>0</v>
      </c>
      <c r="T591" s="95" t="str">
        <f t="shared" si="354"/>
        <v>No</v>
      </c>
      <c r="U591" s="95" t="str">
        <f>IF(T591="Winner",IF(V591&gt;V573,B577,B559),"")</f>
        <v/>
      </c>
      <c r="V591" s="97">
        <f>VLOOKUP(14,X578:Y593,2,0)</f>
        <v>1</v>
      </c>
      <c r="W591" s="95">
        <v>14</v>
      </c>
      <c r="X591" s="95">
        <f t="shared" si="355"/>
        <v>14</v>
      </c>
      <c r="Y591" s="95">
        <f t="shared" si="356"/>
        <v>1</v>
      </c>
      <c r="Z591" s="95">
        <f t="shared" si="357"/>
        <v>1</v>
      </c>
    </row>
    <row r="592" spans="1:26">
      <c r="A592" s="95">
        <v>15</v>
      </c>
      <c r="B592" s="95">
        <f>Singles!Q127</f>
        <v>0</v>
      </c>
      <c r="C592" s="100" t="str">
        <f>IF(OR(LEFT(B592,LEN(B$16))=B$16,LEFT(B592,LEN(C$16))=C$16,LEN(B592)&lt;2),"","Wrong pick")</f>
        <v/>
      </c>
      <c r="G592" s="95" t="str">
        <f>IF(B592=0,"",IF(LEFT(B592,LEN(B$16))=B$16,B$16,C$16))</f>
        <v/>
      </c>
      <c r="H592" s="95" t="str">
        <f t="shared" si="347"/>
        <v>0-0</v>
      </c>
      <c r="J592" s="97">
        <f>Singles!H$17</f>
        <v>1</v>
      </c>
      <c r="K592" s="95" t="str">
        <f t="shared" si="348"/>
        <v>SR</v>
      </c>
      <c r="L592" s="95" t="str">
        <f t="shared" si="349"/>
        <v>0</v>
      </c>
      <c r="M592" s="95" t="str">
        <f t="shared" si="350"/>
        <v>0</v>
      </c>
      <c r="N592" s="95" t="str">
        <f t="shared" si="351"/>
        <v>0</v>
      </c>
      <c r="O592" s="95" t="str">
        <f t="shared" si="352"/>
        <v>0</v>
      </c>
      <c r="P592" s="95" t="str">
        <f t="shared" si="353"/>
        <v>0</v>
      </c>
      <c r="Q592" s="95">
        <f>IF(AND(G592=T$16,LEN(G592)&gt;1),1,0)</f>
        <v>0</v>
      </c>
      <c r="R592" s="97">
        <f>Singles!D$17</f>
        <v>15</v>
      </c>
      <c r="S592" s="95">
        <f>IF(AND(H592=H$16,LEN(H592)&gt;1,Q592=1),1,0)</f>
        <v>0</v>
      </c>
      <c r="T592" s="95" t="str">
        <f t="shared" si="354"/>
        <v>No</v>
      </c>
      <c r="U592" s="95" t="str">
        <f>IF(T592="Winner",IF(V592&gt;V574,B577,B559),"")</f>
        <v/>
      </c>
      <c r="V592" s="97">
        <f>VLOOKUP(15,X578:Y593,2,0)</f>
        <v>1</v>
      </c>
      <c r="W592" s="95">
        <v>15</v>
      </c>
      <c r="X592" s="95">
        <f t="shared" si="355"/>
        <v>15</v>
      </c>
      <c r="Y592" s="95">
        <f t="shared" si="356"/>
        <v>1</v>
      </c>
      <c r="Z592" s="95">
        <f t="shared" si="357"/>
        <v>1</v>
      </c>
    </row>
    <row r="593" spans="1:26">
      <c r="A593" s="95">
        <v>16</v>
      </c>
      <c r="B593" s="95">
        <f>Singles!Q128</f>
        <v>0</v>
      </c>
      <c r="C593" s="100" t="str">
        <f>IF(OR(LEFT(B593,LEN(B$17))=B$17,LEFT(B593,LEN(C$17))=C$17,LEN(B593)&lt;2),"","Wrong pick")</f>
        <v/>
      </c>
      <c r="G593" s="95" t="str">
        <f>IF(B593=0,"",IF(LEFT(B593,LEN(B$17))=B$17,B$17,C$17))</f>
        <v/>
      </c>
      <c r="H593" s="95" t="str">
        <f t="shared" si="347"/>
        <v>0-0</v>
      </c>
      <c r="J593" s="97">
        <f>Singles!H$18</f>
        <v>1</v>
      </c>
      <c r="K593" s="95" t="str">
        <f t="shared" si="348"/>
        <v>SR</v>
      </c>
      <c r="L593" s="95" t="str">
        <f t="shared" si="349"/>
        <v>0</v>
      </c>
      <c r="M593" s="95" t="str">
        <f t="shared" si="350"/>
        <v>0</v>
      </c>
      <c r="N593" s="95" t="str">
        <f t="shared" si="351"/>
        <v>0</v>
      </c>
      <c r="O593" s="95" t="str">
        <f t="shared" si="352"/>
        <v>0</v>
      </c>
      <c r="P593" s="95" t="str">
        <f t="shared" si="353"/>
        <v>0</v>
      </c>
      <c r="Q593" s="95">
        <f>IF(AND(G593=T$17,LEN(G593)&gt;1),1,0)</f>
        <v>0</v>
      </c>
      <c r="R593" s="97">
        <f>Singles!D$18</f>
        <v>16</v>
      </c>
      <c r="S593" s="95">
        <f>IF(AND(H593=H$17,LEN(H593)&gt;1,Q593=1),1,0)</f>
        <v>0</v>
      </c>
      <c r="T593" s="95" t="str">
        <f t="shared" si="354"/>
        <v>No</v>
      </c>
      <c r="U593" s="95" t="str">
        <f>IF(T593="Winner",IF(V593&gt;V575,B577,B559),"")</f>
        <v/>
      </c>
      <c r="V593" s="97">
        <f>VLOOKUP(16,X578:Y593,2,0)</f>
        <v>1</v>
      </c>
      <c r="W593" s="95">
        <v>16</v>
      </c>
      <c r="X593" s="95">
        <f t="shared" si="355"/>
        <v>16</v>
      </c>
      <c r="Y593" s="95">
        <f t="shared" si="356"/>
        <v>1</v>
      </c>
      <c r="Z593" s="95">
        <f t="shared" si="357"/>
        <v>1</v>
      </c>
    </row>
    <row r="594" spans="1:26">
      <c r="T594" s="95" t="s">
        <v>89</v>
      </c>
      <c r="U594" s="95" t="s">
        <v>125</v>
      </c>
      <c r="W594" s="95">
        <v>17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C860"/>
  <sheetViews>
    <sheetView topLeftCell="H7" workbookViewId="0">
      <selection activeCell="U34" sqref="U34"/>
    </sheetView>
  </sheetViews>
  <sheetFormatPr baseColWidth="10" defaultColWidth="11.5703125" defaultRowHeight="14.25"/>
  <cols>
    <col min="1" max="1" width="6.7109375" style="95" customWidth="1"/>
    <col min="2" max="2" width="12.85546875" style="95" customWidth="1"/>
    <col min="3" max="3" width="11.5703125" style="96"/>
    <col min="4" max="4" width="6.5703125" style="95" customWidth="1"/>
    <col min="5" max="5" width="11.5703125" style="95"/>
    <col min="6" max="6" width="8.140625" style="95" customWidth="1"/>
    <col min="7" max="7" width="11.5703125" style="95"/>
    <col min="8" max="8" width="5.28515625" style="95" customWidth="1"/>
    <col min="9" max="9" width="20.5703125" style="95" customWidth="1"/>
    <col min="10" max="10" width="6.140625" style="95" customWidth="1"/>
    <col min="11" max="11" width="6" style="95" customWidth="1"/>
    <col min="12" max="12" width="10" style="95" customWidth="1"/>
    <col min="13" max="13" width="5.42578125" style="95" customWidth="1"/>
    <col min="14" max="14" width="5.5703125" style="95" customWidth="1"/>
    <col min="15" max="15" width="7.28515625" style="95" customWidth="1"/>
    <col min="16" max="16" width="7.5703125" style="95" customWidth="1"/>
    <col min="17" max="17" width="5.140625" style="95" customWidth="1"/>
    <col min="18" max="19" width="5.28515625" style="95" customWidth="1"/>
    <col min="20" max="20" width="11.5703125" style="95"/>
    <col min="21" max="21" width="36.5703125" style="95" customWidth="1"/>
    <col min="22" max="22" width="11.5703125" style="95"/>
    <col min="23" max="23" width="7.42578125" style="95" customWidth="1"/>
    <col min="24" max="24" width="5" style="95" customWidth="1"/>
    <col min="25" max="16384" width="11.5703125" style="95"/>
  </cols>
  <sheetData>
    <row r="1" spans="1:20">
      <c r="B1" s="99" t="s">
        <v>126</v>
      </c>
      <c r="C1" s="95"/>
      <c r="D1" s="95" t="s">
        <v>88</v>
      </c>
      <c r="E1" s="95" t="s">
        <v>87</v>
      </c>
      <c r="F1" s="95" t="s">
        <v>89</v>
      </c>
      <c r="G1" s="95" t="s">
        <v>90</v>
      </c>
      <c r="I1" s="95" t="s">
        <v>118</v>
      </c>
    </row>
    <row r="2" spans="1:20" ht="13.5">
      <c r="A2" s="95">
        <v>1</v>
      </c>
      <c r="B2" s="95" t="str">
        <f>Doubles!H2</f>
        <v>Travaglia</v>
      </c>
      <c r="C2" s="95" t="str">
        <f>Doubles!I2</f>
        <v>Ghem</v>
      </c>
      <c r="D2" s="97">
        <f>Doubles!K2</f>
        <v>1</v>
      </c>
      <c r="E2" s="95" t="str">
        <f>IF(Doubles!J2="","",Doubles!J2)</f>
        <v>PTS</v>
      </c>
      <c r="F2" s="95">
        <f>Doubles!L2</f>
        <v>0</v>
      </c>
      <c r="G2" s="95" t="str">
        <f>IF(Doubles!N2="","",Doubles!N2)</f>
        <v/>
      </c>
      <c r="H2" s="95" t="str">
        <f t="shared" ref="H2:H25" si="0">IF(G2="","",IF(K2="PTS",IF(LEN(O2)&lt;8,"2-0","2-1"),LEFT(O2,1)&amp;"-"&amp;RIGHT(O2,1)))</f>
        <v/>
      </c>
      <c r="I2" s="95">
        <f>Doubles!D21</f>
        <v>1</v>
      </c>
      <c r="K2" s="95" t="str">
        <f t="shared" ref="K2:K25" si="1">IF(LEN(G2)&gt;0,IF(LEN(O2)&lt;4,"SR","PTS"),"")</f>
        <v/>
      </c>
      <c r="M2" s="95" t="str">
        <f t="shared" ref="M2:M25" si="2">SUBSTITUTE(G2,"-","")</f>
        <v/>
      </c>
      <c r="N2" s="95" t="str">
        <f t="shared" ref="N2:N25" si="3">SUBSTITUTE(M2,",","")</f>
        <v/>
      </c>
      <c r="O2" s="95" t="str">
        <f t="shared" ref="O2:O25" si="4">SUBSTITUTE(P2,"/","")</f>
        <v/>
      </c>
      <c r="P2" s="95" t="str">
        <f t="shared" ref="P2:P25" si="5">SUBSTITUTE(N2,":","")</f>
        <v/>
      </c>
      <c r="T2" s="95" t="str">
        <f>IF(Doubles!M2="","",Doubles!M2)</f>
        <v/>
      </c>
    </row>
    <row r="3" spans="1:20" ht="13.5">
      <c r="A3" s="95">
        <v>2</v>
      </c>
      <c r="B3" s="95" t="str">
        <f>Doubles!H3</f>
        <v>Machado</v>
      </c>
      <c r="C3" s="95" t="str">
        <f>Doubles!I3</f>
        <v>Camilo</v>
      </c>
      <c r="D3" s="97">
        <f>Doubles!K3</f>
        <v>1</v>
      </c>
      <c r="E3" s="95" t="str">
        <f>IF(Doubles!J3="","",Doubles!J3)</f>
        <v>PTS</v>
      </c>
      <c r="F3" s="95">
        <f>Doubles!L3</f>
        <v>0</v>
      </c>
      <c r="G3" s="95" t="str">
        <f>IF(Doubles!N3="","",Doubles!N3)</f>
        <v/>
      </c>
      <c r="H3" s="95" t="str">
        <f t="shared" si="0"/>
        <v/>
      </c>
      <c r="I3" s="95" t="s">
        <v>119</v>
      </c>
      <c r="K3" s="95" t="str">
        <f t="shared" si="1"/>
        <v/>
      </c>
      <c r="M3" s="95" t="str">
        <f t="shared" si="2"/>
        <v/>
      </c>
      <c r="N3" s="95" t="str">
        <f t="shared" si="3"/>
        <v/>
      </c>
      <c r="O3" s="95" t="str">
        <f t="shared" si="4"/>
        <v/>
      </c>
      <c r="P3" s="95" t="str">
        <f t="shared" si="5"/>
        <v/>
      </c>
      <c r="T3" s="95" t="str">
        <f>IF(Doubles!M3="","",Doubles!M3)</f>
        <v/>
      </c>
    </row>
    <row r="4" spans="1:20" ht="13.5">
      <c r="A4" s="95">
        <v>3</v>
      </c>
      <c r="B4" s="95" t="str">
        <f>Doubles!H4</f>
        <v>Junqueira</v>
      </c>
      <c r="C4" s="95" t="str">
        <f>Doubles!I4</f>
        <v>Tsuchiya</v>
      </c>
      <c r="D4" s="97">
        <f>Doubles!K4</f>
        <v>1</v>
      </c>
      <c r="E4" s="95" t="str">
        <f>IF(Doubles!J4="","",Doubles!J4)</f>
        <v>PTS</v>
      </c>
      <c r="F4" s="95">
        <f>Doubles!L4</f>
        <v>0</v>
      </c>
      <c r="G4" s="95" t="str">
        <f>IF(Doubles!N4="","",Doubles!N4)</f>
        <v/>
      </c>
      <c r="H4" s="95" t="str">
        <f t="shared" si="0"/>
        <v/>
      </c>
      <c r="I4" s="97">
        <f>COUNTIF(Doubles!K2:K25,"="&amp;Doubles!$D$21)</f>
        <v>16</v>
      </c>
      <c r="K4" s="95" t="str">
        <f t="shared" si="1"/>
        <v/>
      </c>
      <c r="M4" s="95" t="str">
        <f t="shared" si="2"/>
        <v/>
      </c>
      <c r="N4" s="95" t="str">
        <f t="shared" si="3"/>
        <v/>
      </c>
      <c r="O4" s="95" t="str">
        <f t="shared" si="4"/>
        <v/>
      </c>
      <c r="P4" s="95" t="str">
        <f t="shared" si="5"/>
        <v/>
      </c>
      <c r="T4" s="95" t="str">
        <f>IF(Doubles!M4="","",Doubles!M4)</f>
        <v/>
      </c>
    </row>
    <row r="5" spans="1:20" ht="13.5">
      <c r="A5" s="95">
        <v>4</v>
      </c>
      <c r="B5" s="95" t="str">
        <f>Doubles!H5</f>
        <v>Laranja</v>
      </c>
      <c r="C5" s="95" t="str">
        <f>Doubles!I5</f>
        <v>Gaio</v>
      </c>
      <c r="D5" s="97">
        <f>Doubles!K5</f>
        <v>1</v>
      </c>
      <c r="E5" s="95" t="str">
        <f>IF(Doubles!J5="","",Doubles!J5)</f>
        <v>PTS</v>
      </c>
      <c r="F5" s="95">
        <f>Doubles!L5</f>
        <v>0</v>
      </c>
      <c r="G5" s="95" t="str">
        <f>IF(Doubles!N5="","",Doubles!N5)</f>
        <v/>
      </c>
      <c r="H5" s="95" t="str">
        <f t="shared" si="0"/>
        <v/>
      </c>
      <c r="K5" s="95" t="str">
        <f t="shared" si="1"/>
        <v/>
      </c>
      <c r="M5" s="95" t="str">
        <f t="shared" si="2"/>
        <v/>
      </c>
      <c r="N5" s="95" t="str">
        <f t="shared" si="3"/>
        <v/>
      </c>
      <c r="O5" s="95" t="str">
        <f t="shared" si="4"/>
        <v/>
      </c>
      <c r="P5" s="95" t="str">
        <f t="shared" si="5"/>
        <v/>
      </c>
      <c r="T5" s="95" t="str">
        <f>IF(Doubles!M5="","",Doubles!M5)</f>
        <v/>
      </c>
    </row>
    <row r="6" spans="1:20" ht="13.5">
      <c r="A6" s="95">
        <v>5</v>
      </c>
      <c r="B6" s="95" t="str">
        <f>Doubles!H6</f>
        <v>PODLIPBIK-CASTILLO</v>
      </c>
      <c r="C6" s="95" t="str">
        <f>Doubles!I6</f>
        <v>Yamacita</v>
      </c>
      <c r="D6" s="97">
        <f>Doubles!K6</f>
        <v>1</v>
      </c>
      <c r="E6" s="95" t="str">
        <f>IF(Doubles!J6="","",Doubles!J6)</f>
        <v>PTS</v>
      </c>
      <c r="F6" s="95">
        <f>Doubles!L6</f>
        <v>0</v>
      </c>
      <c r="G6" s="95" t="str">
        <f>IF(Doubles!N6="","",Doubles!N6)</f>
        <v/>
      </c>
      <c r="H6" s="95" t="str">
        <f t="shared" si="0"/>
        <v/>
      </c>
      <c r="K6" s="95" t="str">
        <f t="shared" si="1"/>
        <v/>
      </c>
      <c r="M6" s="95" t="str">
        <f t="shared" si="2"/>
        <v/>
      </c>
      <c r="N6" s="95" t="str">
        <f t="shared" si="3"/>
        <v/>
      </c>
      <c r="O6" s="95" t="str">
        <f t="shared" si="4"/>
        <v/>
      </c>
      <c r="P6" s="95" t="str">
        <f t="shared" si="5"/>
        <v/>
      </c>
      <c r="T6" s="95" t="str">
        <f>IF(Doubles!M6="","",Doubles!M6)</f>
        <v/>
      </c>
    </row>
    <row r="7" spans="1:20" ht="13.5">
      <c r="A7" s="95">
        <v>6</v>
      </c>
      <c r="B7" s="95" t="str">
        <f>Doubles!H7</f>
        <v>Lindell</v>
      </c>
      <c r="C7" s="95" t="str">
        <f>Doubles!I7</f>
        <v>Duran</v>
      </c>
      <c r="D7" s="97">
        <f>Doubles!K7</f>
        <v>1</v>
      </c>
      <c r="E7" s="95" t="str">
        <f>IF(Doubles!J7="","",Doubles!J7)</f>
        <v>PTS</v>
      </c>
      <c r="F7" s="95">
        <f>Doubles!L7</f>
        <v>0</v>
      </c>
      <c r="G7" s="95" t="str">
        <f>IF(Doubles!N7="","",Doubles!N7)</f>
        <v/>
      </c>
      <c r="H7" s="95" t="str">
        <f t="shared" si="0"/>
        <v/>
      </c>
      <c r="K7" s="95" t="str">
        <f t="shared" si="1"/>
        <v/>
      </c>
      <c r="M7" s="95" t="str">
        <f t="shared" si="2"/>
        <v/>
      </c>
      <c r="N7" s="95" t="str">
        <f t="shared" si="3"/>
        <v/>
      </c>
      <c r="O7" s="95" t="str">
        <f t="shared" si="4"/>
        <v/>
      </c>
      <c r="P7" s="95" t="str">
        <f t="shared" si="5"/>
        <v/>
      </c>
      <c r="T7" s="95" t="str">
        <f>IF(Doubles!M7="","",Doubles!M7)</f>
        <v/>
      </c>
    </row>
    <row r="8" spans="1:20" ht="13.5">
      <c r="A8" s="95">
        <v>7</v>
      </c>
      <c r="B8" s="95" t="str">
        <f>Doubles!H8</f>
        <v>Sorgi</v>
      </c>
      <c r="C8" s="95" t="str">
        <f>Doubles!I8</f>
        <v>Michon</v>
      </c>
      <c r="D8" s="97">
        <f>Doubles!K8</f>
        <v>1</v>
      </c>
      <c r="E8" s="95" t="str">
        <f>IF(Doubles!J8="","",Doubles!J8)</f>
        <v>PTS</v>
      </c>
      <c r="F8" s="95">
        <f>Doubles!L8</f>
        <v>0</v>
      </c>
      <c r="G8" s="95" t="str">
        <f>IF(Doubles!N8="","",Doubles!N8)</f>
        <v/>
      </c>
      <c r="H8" s="95" t="str">
        <f t="shared" si="0"/>
        <v/>
      </c>
      <c r="K8" s="95" t="str">
        <f t="shared" si="1"/>
        <v/>
      </c>
      <c r="M8" s="95" t="str">
        <f t="shared" si="2"/>
        <v/>
      </c>
      <c r="N8" s="95" t="str">
        <f t="shared" si="3"/>
        <v/>
      </c>
      <c r="O8" s="95" t="str">
        <f t="shared" si="4"/>
        <v/>
      </c>
      <c r="P8" s="95" t="str">
        <f t="shared" si="5"/>
        <v/>
      </c>
      <c r="T8" s="95" t="str">
        <f>IF(Doubles!M8="","",Doubles!M8)</f>
        <v/>
      </c>
    </row>
    <row r="9" spans="1:20" ht="13.5">
      <c r="A9" s="95">
        <v>8</v>
      </c>
      <c r="B9" s="95" t="str">
        <f>Doubles!H9</f>
        <v>Rios-benitez</v>
      </c>
      <c r="C9" s="95" t="str">
        <f>Doubles!I9</f>
        <v>gonzalez</v>
      </c>
      <c r="D9" s="97">
        <f>Doubles!K9</f>
        <v>1</v>
      </c>
      <c r="E9" s="95" t="str">
        <f>IF(Doubles!J9="","",Doubles!J9)</f>
        <v>PTS</v>
      </c>
      <c r="F9" s="95">
        <f>Doubles!L9</f>
        <v>0</v>
      </c>
      <c r="G9" s="95" t="str">
        <f>IF(Doubles!N9="","",Doubles!N9)</f>
        <v/>
      </c>
      <c r="H9" s="95" t="str">
        <f t="shared" si="0"/>
        <v/>
      </c>
      <c r="K9" s="95" t="str">
        <f t="shared" si="1"/>
        <v/>
      </c>
      <c r="M9" s="95" t="str">
        <f t="shared" si="2"/>
        <v/>
      </c>
      <c r="N9" s="95" t="str">
        <f t="shared" si="3"/>
        <v/>
      </c>
      <c r="O9" s="95" t="str">
        <f t="shared" si="4"/>
        <v/>
      </c>
      <c r="P9" s="95" t="str">
        <f t="shared" si="5"/>
        <v/>
      </c>
      <c r="T9" s="95" t="str">
        <f>IF(Doubles!M9="","",Doubles!M9)</f>
        <v/>
      </c>
    </row>
    <row r="10" spans="1:20" ht="13.5">
      <c r="A10" s="95">
        <v>9</v>
      </c>
      <c r="B10" s="95" t="str">
        <f>Doubles!H10</f>
        <v>pereira</v>
      </c>
      <c r="C10" s="95" t="str">
        <f>Doubles!I10</f>
        <v>oliveira</v>
      </c>
      <c r="D10" s="97">
        <f>Doubles!K10</f>
        <v>1</v>
      </c>
      <c r="E10" s="95" t="str">
        <f>IF(Doubles!J10="","",Doubles!J10)</f>
        <v>PTS</v>
      </c>
      <c r="F10" s="95">
        <f>Doubles!L10</f>
        <v>0</v>
      </c>
      <c r="G10" s="95" t="str">
        <f>IF(Doubles!N10="","",Doubles!N10)</f>
        <v/>
      </c>
      <c r="H10" s="95" t="str">
        <f t="shared" si="0"/>
        <v/>
      </c>
      <c r="K10" s="95" t="str">
        <f t="shared" si="1"/>
        <v/>
      </c>
      <c r="M10" s="95" t="str">
        <f t="shared" si="2"/>
        <v/>
      </c>
      <c r="N10" s="95" t="str">
        <f t="shared" si="3"/>
        <v/>
      </c>
      <c r="O10" s="95" t="str">
        <f t="shared" si="4"/>
        <v/>
      </c>
      <c r="P10" s="95" t="str">
        <f t="shared" si="5"/>
        <v/>
      </c>
      <c r="T10" s="95" t="str">
        <f>IF(Doubles!M10="","",Doubles!M10)</f>
        <v/>
      </c>
    </row>
    <row r="11" spans="1:20" ht="13.5">
      <c r="A11" s="95">
        <v>10</v>
      </c>
      <c r="B11" s="95" t="str">
        <f>Doubles!H11</f>
        <v>matos</v>
      </c>
      <c r="C11" s="95" t="str">
        <f>Doubles!I11</f>
        <v>collinari</v>
      </c>
      <c r="D11" s="97">
        <f>Doubles!K11</f>
        <v>1</v>
      </c>
      <c r="E11" s="95" t="str">
        <f>IF(Doubles!J11="","",Doubles!J11)</f>
        <v>PTS</v>
      </c>
      <c r="F11" s="95">
        <f>Doubles!L11</f>
        <v>0</v>
      </c>
      <c r="G11" s="95" t="str">
        <f>IF(Doubles!N11="","",Doubles!N11)</f>
        <v/>
      </c>
      <c r="H11" s="95" t="str">
        <f t="shared" si="0"/>
        <v/>
      </c>
      <c r="K11" s="95" t="str">
        <f t="shared" si="1"/>
        <v/>
      </c>
      <c r="M11" s="95" t="str">
        <f t="shared" si="2"/>
        <v/>
      </c>
      <c r="N11" s="95" t="str">
        <f t="shared" si="3"/>
        <v/>
      </c>
      <c r="O11" s="95" t="str">
        <f t="shared" si="4"/>
        <v/>
      </c>
      <c r="P11" s="95" t="str">
        <f t="shared" si="5"/>
        <v/>
      </c>
      <c r="T11" s="95" t="str">
        <f>IF(Doubles!M11="","",Doubles!M11)</f>
        <v/>
      </c>
    </row>
    <row r="12" spans="1:20" ht="13.5">
      <c r="A12" s="95">
        <v>11</v>
      </c>
      <c r="B12" s="95" t="str">
        <f>Doubles!H12</f>
        <v>giner</v>
      </c>
      <c r="C12" s="95" t="str">
        <f>Doubles!I12</f>
        <v>trinker</v>
      </c>
      <c r="D12" s="97">
        <f>Doubles!K12</f>
        <v>1</v>
      </c>
      <c r="E12" s="95" t="str">
        <f>IF(Doubles!J12="","",Doubles!J12)</f>
        <v>PTS</v>
      </c>
      <c r="F12" s="95">
        <f>Doubles!L12</f>
        <v>0</v>
      </c>
      <c r="G12" s="95" t="str">
        <f>IF(Doubles!N12="","",Doubles!N12)</f>
        <v/>
      </c>
      <c r="H12" s="95" t="str">
        <f t="shared" si="0"/>
        <v/>
      </c>
      <c r="K12" s="95" t="str">
        <f t="shared" si="1"/>
        <v/>
      </c>
      <c r="M12" s="95" t="str">
        <f t="shared" si="2"/>
        <v/>
      </c>
      <c r="N12" s="95" t="str">
        <f t="shared" si="3"/>
        <v/>
      </c>
      <c r="O12" s="95" t="str">
        <f t="shared" si="4"/>
        <v/>
      </c>
      <c r="P12" s="95" t="str">
        <f t="shared" si="5"/>
        <v/>
      </c>
      <c r="T12" s="95" t="str">
        <f>IF(Doubles!M12="","",Doubles!M12)</f>
        <v/>
      </c>
    </row>
    <row r="13" spans="1:20" ht="13.5">
      <c r="A13" s="95">
        <v>12</v>
      </c>
      <c r="B13" s="95" t="str">
        <f>Doubles!H13</f>
        <v>turini</v>
      </c>
      <c r="C13" s="95" t="str">
        <f>Doubles!I13</f>
        <v>galdon</v>
      </c>
      <c r="D13" s="97">
        <f>Doubles!K13</f>
        <v>1</v>
      </c>
      <c r="E13" s="95" t="str">
        <f>IF(Doubles!J13="","",Doubles!J13)</f>
        <v>PTS</v>
      </c>
      <c r="F13" s="95">
        <f>Doubles!L13</f>
        <v>0</v>
      </c>
      <c r="G13" s="95" t="str">
        <f>IF(Doubles!N13="","",Doubles!N13)</f>
        <v/>
      </c>
      <c r="H13" s="95" t="str">
        <f t="shared" si="0"/>
        <v/>
      </c>
      <c r="K13" s="95" t="str">
        <f t="shared" si="1"/>
        <v/>
      </c>
      <c r="M13" s="95" t="str">
        <f t="shared" si="2"/>
        <v/>
      </c>
      <c r="N13" s="95" t="str">
        <f t="shared" si="3"/>
        <v/>
      </c>
      <c r="O13" s="95" t="str">
        <f t="shared" si="4"/>
        <v/>
      </c>
      <c r="P13" s="95" t="str">
        <f t="shared" si="5"/>
        <v/>
      </c>
      <c r="T13" s="95" t="str">
        <f>IF(Doubles!M13="","",Doubles!M13)</f>
        <v/>
      </c>
    </row>
    <row r="14" spans="1:20" ht="13.5">
      <c r="A14" s="95">
        <v>13</v>
      </c>
      <c r="B14" s="95" t="str">
        <f>Doubles!H14</f>
        <v>santos jr</v>
      </c>
      <c r="C14" s="95" t="str">
        <f>Doubles!I14</f>
        <v>lobkov</v>
      </c>
      <c r="D14" s="97">
        <f>Doubles!K14</f>
        <v>1</v>
      </c>
      <c r="E14" s="95" t="str">
        <f>IF(Doubles!J14="","",Doubles!J14)</f>
        <v>PTS</v>
      </c>
      <c r="F14" s="95">
        <f>Doubles!L14</f>
        <v>0</v>
      </c>
      <c r="G14" s="95" t="str">
        <f>IF(Doubles!N14="","",Doubles!N14)</f>
        <v/>
      </c>
      <c r="H14" s="95" t="str">
        <f t="shared" si="0"/>
        <v/>
      </c>
      <c r="K14" s="95" t="str">
        <f t="shared" si="1"/>
        <v/>
      </c>
      <c r="M14" s="95" t="str">
        <f t="shared" si="2"/>
        <v/>
      </c>
      <c r="N14" s="95" t="str">
        <f t="shared" si="3"/>
        <v/>
      </c>
      <c r="O14" s="95" t="str">
        <f t="shared" si="4"/>
        <v/>
      </c>
      <c r="P14" s="95" t="str">
        <f t="shared" si="5"/>
        <v/>
      </c>
      <c r="T14" s="95" t="str">
        <f>IF(Doubles!M14="","",Doubles!M14)</f>
        <v/>
      </c>
    </row>
    <row r="15" spans="1:20" ht="13.5">
      <c r="A15" s="95">
        <v>14</v>
      </c>
      <c r="B15" s="95" t="str">
        <f>Doubles!H15</f>
        <v>santos</v>
      </c>
      <c r="C15" s="95" t="str">
        <f>Doubles!I15</f>
        <v>Fligia</v>
      </c>
      <c r="D15" s="97">
        <f>Doubles!K15</f>
        <v>1</v>
      </c>
      <c r="E15" s="95" t="str">
        <f>IF(Doubles!J15="","",Doubles!J15)</f>
        <v>PTS</v>
      </c>
      <c r="F15" s="95">
        <f>Doubles!L15</f>
        <v>0</v>
      </c>
      <c r="G15" s="95" t="str">
        <f>IF(Doubles!N15="","",Doubles!N15)</f>
        <v/>
      </c>
      <c r="H15" s="95" t="str">
        <f t="shared" si="0"/>
        <v/>
      </c>
      <c r="K15" s="95" t="str">
        <f t="shared" si="1"/>
        <v/>
      </c>
      <c r="M15" s="95" t="str">
        <f t="shared" si="2"/>
        <v/>
      </c>
      <c r="N15" s="95" t="str">
        <f t="shared" si="3"/>
        <v/>
      </c>
      <c r="O15" s="95" t="str">
        <f t="shared" si="4"/>
        <v/>
      </c>
      <c r="P15" s="95" t="str">
        <f t="shared" si="5"/>
        <v/>
      </c>
      <c r="T15" s="95" t="str">
        <f>IF(Doubles!M15="","",Doubles!M15)</f>
        <v/>
      </c>
    </row>
    <row r="16" spans="1:20" ht="13.5">
      <c r="A16" s="95">
        <v>15</v>
      </c>
      <c r="B16" s="95" t="str">
        <f>Doubles!H16</f>
        <v>blumenberg</v>
      </c>
      <c r="C16" s="95" t="str">
        <f>Doubles!I16</f>
        <v>santos</v>
      </c>
      <c r="D16" s="97">
        <f>Doubles!K16</f>
        <v>1</v>
      </c>
      <c r="E16" s="95" t="str">
        <f>IF(Doubles!J16="","",Doubles!J16)</f>
        <v>PTS</v>
      </c>
      <c r="F16" s="95">
        <f>Doubles!L16</f>
        <v>0</v>
      </c>
      <c r="G16" s="95" t="str">
        <f>IF(Doubles!N16="","",Doubles!N16)</f>
        <v/>
      </c>
      <c r="H16" s="95" t="str">
        <f t="shared" si="0"/>
        <v/>
      </c>
      <c r="K16" s="95" t="str">
        <f t="shared" si="1"/>
        <v/>
      </c>
      <c r="M16" s="95" t="str">
        <f t="shared" si="2"/>
        <v/>
      </c>
      <c r="N16" s="95" t="str">
        <f t="shared" si="3"/>
        <v/>
      </c>
      <c r="O16" s="95" t="str">
        <f t="shared" si="4"/>
        <v/>
      </c>
      <c r="P16" s="95" t="str">
        <f t="shared" si="5"/>
        <v/>
      </c>
      <c r="T16" s="95" t="str">
        <f>IF(Doubles!M16="","",Doubles!M16)</f>
        <v/>
      </c>
    </row>
    <row r="17" spans="1:29" ht="13.5">
      <c r="A17" s="95">
        <v>16</v>
      </c>
      <c r="B17" s="95" t="str">
        <f>Doubles!H17</f>
        <v>lojda</v>
      </c>
      <c r="C17" s="95" t="str">
        <f>Doubles!I17</f>
        <v>siggia</v>
      </c>
      <c r="D17" s="97">
        <f>Doubles!K17</f>
        <v>1</v>
      </c>
      <c r="E17" s="95" t="str">
        <f>IF(Doubles!J17="","",Doubles!J17)</f>
        <v>PTS</v>
      </c>
      <c r="F17" s="95">
        <f>Doubles!L17</f>
        <v>0</v>
      </c>
      <c r="G17" s="95" t="str">
        <f>IF(Doubles!N17="","",Doubles!N17)</f>
        <v/>
      </c>
      <c r="H17" s="95" t="str">
        <f t="shared" si="0"/>
        <v/>
      </c>
      <c r="K17" s="95" t="str">
        <f t="shared" si="1"/>
        <v/>
      </c>
      <c r="M17" s="95" t="str">
        <f t="shared" si="2"/>
        <v/>
      </c>
      <c r="N17" s="95" t="str">
        <f t="shared" si="3"/>
        <v/>
      </c>
      <c r="O17" s="95" t="str">
        <f t="shared" si="4"/>
        <v/>
      </c>
      <c r="P17" s="95" t="str">
        <f t="shared" si="5"/>
        <v/>
      </c>
      <c r="T17" s="95" t="str">
        <f>IF(Doubles!M17="","",Doubles!M17)</f>
        <v/>
      </c>
    </row>
    <row r="18" spans="1:29" ht="13.5">
      <c r="A18" s="95">
        <v>17</v>
      </c>
      <c r="B18" s="95">
        <f>Doubles!H18</f>
        <v>0</v>
      </c>
      <c r="C18" s="95">
        <f>Doubles!I18</f>
        <v>0</v>
      </c>
      <c r="D18" s="97">
        <f>Doubles!K18</f>
        <v>0</v>
      </c>
      <c r="E18" s="95" t="str">
        <f>IF(Doubles!J18="","",Doubles!J18)</f>
        <v/>
      </c>
      <c r="F18" s="95">
        <f>Doubles!L18</f>
        <v>0</v>
      </c>
      <c r="G18" s="95" t="str">
        <f>IF(Doubles!N18="","",Doubles!N18)</f>
        <v/>
      </c>
      <c r="H18" s="95" t="str">
        <f t="shared" si="0"/>
        <v/>
      </c>
      <c r="K18" s="95" t="str">
        <f t="shared" si="1"/>
        <v/>
      </c>
      <c r="M18" s="95" t="str">
        <f t="shared" si="2"/>
        <v/>
      </c>
      <c r="N18" s="95" t="str">
        <f t="shared" si="3"/>
        <v/>
      </c>
      <c r="O18" s="95" t="str">
        <f t="shared" si="4"/>
        <v/>
      </c>
      <c r="P18" s="95" t="str">
        <f t="shared" si="5"/>
        <v/>
      </c>
      <c r="T18" s="95" t="str">
        <f>IF(Doubles!M18="","",Doubles!M18)</f>
        <v/>
      </c>
    </row>
    <row r="19" spans="1:29" ht="13.5">
      <c r="A19" s="95">
        <v>18</v>
      </c>
      <c r="B19" s="95">
        <f>Doubles!H19</f>
        <v>0</v>
      </c>
      <c r="C19" s="95">
        <f>Doubles!I19</f>
        <v>0</v>
      </c>
      <c r="D19" s="97">
        <f>Doubles!K19</f>
        <v>0</v>
      </c>
      <c r="E19" s="95" t="str">
        <f>IF(Doubles!J19="","",Doubles!J19)</f>
        <v/>
      </c>
      <c r="F19" s="95">
        <f>Doubles!L19</f>
        <v>0</v>
      </c>
      <c r="G19" s="95" t="str">
        <f>IF(Doubles!N19="","",Doubles!N19)</f>
        <v/>
      </c>
      <c r="H19" s="95" t="str">
        <f t="shared" si="0"/>
        <v/>
      </c>
      <c r="K19" s="95" t="str">
        <f t="shared" si="1"/>
        <v/>
      </c>
      <c r="M19" s="95" t="str">
        <f t="shared" si="2"/>
        <v/>
      </c>
      <c r="N19" s="95" t="str">
        <f t="shared" si="3"/>
        <v/>
      </c>
      <c r="O19" s="95" t="str">
        <f t="shared" si="4"/>
        <v/>
      </c>
      <c r="P19" s="95" t="str">
        <f t="shared" si="5"/>
        <v/>
      </c>
      <c r="T19" s="95" t="str">
        <f>IF(Doubles!M19="","",Doubles!M19)</f>
        <v/>
      </c>
    </row>
    <row r="20" spans="1:29" ht="13.5">
      <c r="A20" s="95">
        <v>19</v>
      </c>
      <c r="B20" s="95">
        <f>Doubles!H20</f>
        <v>0</v>
      </c>
      <c r="C20" s="95">
        <f>Doubles!I20</f>
        <v>0</v>
      </c>
      <c r="D20" s="97">
        <f>Doubles!K20</f>
        <v>0</v>
      </c>
      <c r="E20" s="95" t="str">
        <f>IF(Doubles!J20="","",Doubles!J20)</f>
        <v/>
      </c>
      <c r="F20" s="95">
        <f>Doubles!L20</f>
        <v>0</v>
      </c>
      <c r="G20" s="95" t="str">
        <f>IF(Doubles!N20="","",Doubles!N20)</f>
        <v/>
      </c>
      <c r="H20" s="95" t="str">
        <f t="shared" si="0"/>
        <v/>
      </c>
      <c r="K20" s="95" t="str">
        <f t="shared" si="1"/>
        <v/>
      </c>
      <c r="M20" s="95" t="str">
        <f t="shared" si="2"/>
        <v/>
      </c>
      <c r="N20" s="95" t="str">
        <f t="shared" si="3"/>
        <v/>
      </c>
      <c r="O20" s="95" t="str">
        <f t="shared" si="4"/>
        <v/>
      </c>
      <c r="P20" s="95" t="str">
        <f t="shared" si="5"/>
        <v/>
      </c>
      <c r="T20" s="95" t="str">
        <f>IF(Doubles!M20="","",Doubles!M20)</f>
        <v/>
      </c>
    </row>
    <row r="21" spans="1:29" ht="13.5">
      <c r="A21" s="95">
        <v>20</v>
      </c>
      <c r="B21" s="95">
        <f>Doubles!H21</f>
        <v>0</v>
      </c>
      <c r="C21" s="95">
        <f>Doubles!I21</f>
        <v>0</v>
      </c>
      <c r="D21" s="97">
        <f>Doubles!K21</f>
        <v>0</v>
      </c>
      <c r="E21" s="95" t="str">
        <f>IF(Doubles!J21="","",Doubles!J21)</f>
        <v/>
      </c>
      <c r="F21" s="95">
        <f>Doubles!L21</f>
        <v>0</v>
      </c>
      <c r="G21" s="95" t="str">
        <f>IF(Doubles!N21="","",Doubles!N21)</f>
        <v/>
      </c>
      <c r="H21" s="95" t="str">
        <f t="shared" si="0"/>
        <v/>
      </c>
      <c r="K21" s="95" t="str">
        <f t="shared" si="1"/>
        <v/>
      </c>
      <c r="M21" s="95" t="str">
        <f t="shared" si="2"/>
        <v/>
      </c>
      <c r="N21" s="95" t="str">
        <f t="shared" si="3"/>
        <v/>
      </c>
      <c r="O21" s="95" t="str">
        <f t="shared" si="4"/>
        <v/>
      </c>
      <c r="P21" s="95" t="str">
        <f t="shared" si="5"/>
        <v/>
      </c>
      <c r="T21" s="95" t="str">
        <f>IF(Doubles!M21="","",Doubles!M21)</f>
        <v/>
      </c>
    </row>
    <row r="22" spans="1:29" ht="13.5">
      <c r="A22" s="95">
        <v>21</v>
      </c>
      <c r="B22" s="95">
        <f>Doubles!H22</f>
        <v>0</v>
      </c>
      <c r="C22" s="95">
        <f>Doubles!I22</f>
        <v>0</v>
      </c>
      <c r="D22" s="97">
        <f>Doubles!K22</f>
        <v>0</v>
      </c>
      <c r="E22" s="95" t="str">
        <f>IF(Doubles!J22="","",Doubles!J22)</f>
        <v/>
      </c>
      <c r="F22" s="95">
        <f>Doubles!L22</f>
        <v>0</v>
      </c>
      <c r="G22" s="95" t="str">
        <f>IF(Doubles!N22="","",Doubles!N22)</f>
        <v/>
      </c>
      <c r="H22" s="95" t="str">
        <f t="shared" si="0"/>
        <v/>
      </c>
      <c r="K22" s="95" t="str">
        <f t="shared" si="1"/>
        <v/>
      </c>
      <c r="M22" s="95" t="str">
        <f t="shared" si="2"/>
        <v/>
      </c>
      <c r="N22" s="95" t="str">
        <f t="shared" si="3"/>
        <v/>
      </c>
      <c r="O22" s="95" t="str">
        <f t="shared" si="4"/>
        <v/>
      </c>
      <c r="P22" s="95" t="str">
        <f t="shared" si="5"/>
        <v/>
      </c>
      <c r="T22" s="95" t="str">
        <f>IF(Doubles!M22="","",Doubles!M22)</f>
        <v/>
      </c>
    </row>
    <row r="23" spans="1:29" ht="13.5">
      <c r="A23" s="95">
        <v>22</v>
      </c>
      <c r="B23" s="95">
        <f>Doubles!H23</f>
        <v>0</v>
      </c>
      <c r="C23" s="95">
        <f>Doubles!I23</f>
        <v>0</v>
      </c>
      <c r="D23" s="97">
        <f>Doubles!K23</f>
        <v>0</v>
      </c>
      <c r="E23" s="95" t="str">
        <f>IF(Doubles!J23="","",Doubles!J23)</f>
        <v/>
      </c>
      <c r="F23" s="95">
        <f>Doubles!L23</f>
        <v>0</v>
      </c>
      <c r="G23" s="95" t="str">
        <f>IF(Doubles!N23="","",Doubles!N23)</f>
        <v/>
      </c>
      <c r="H23" s="95" t="str">
        <f t="shared" si="0"/>
        <v/>
      </c>
      <c r="K23" s="95" t="str">
        <f t="shared" si="1"/>
        <v/>
      </c>
      <c r="M23" s="95" t="str">
        <f t="shared" si="2"/>
        <v/>
      </c>
      <c r="N23" s="95" t="str">
        <f t="shared" si="3"/>
        <v/>
      </c>
      <c r="O23" s="95" t="str">
        <f t="shared" si="4"/>
        <v/>
      </c>
      <c r="P23" s="95" t="str">
        <f t="shared" si="5"/>
        <v/>
      </c>
      <c r="T23" s="95" t="str">
        <f>IF(Doubles!M23="","",Doubles!M23)</f>
        <v/>
      </c>
    </row>
    <row r="24" spans="1:29" ht="13.5">
      <c r="A24" s="95">
        <v>23</v>
      </c>
      <c r="B24" s="95">
        <f>Doubles!H24</f>
        <v>0</v>
      </c>
      <c r="C24" s="95">
        <f>Doubles!I24</f>
        <v>0</v>
      </c>
      <c r="D24" s="97">
        <f>Doubles!K24</f>
        <v>0</v>
      </c>
      <c r="E24" s="95" t="str">
        <f>IF(Doubles!J24="","",Doubles!J24)</f>
        <v/>
      </c>
      <c r="F24" s="95">
        <f>Doubles!L24</f>
        <v>0</v>
      </c>
      <c r="G24" s="95" t="str">
        <f>IF(Doubles!N24="","",Doubles!N24)</f>
        <v/>
      </c>
      <c r="H24" s="95" t="str">
        <f t="shared" si="0"/>
        <v/>
      </c>
      <c r="K24" s="95" t="str">
        <f t="shared" si="1"/>
        <v/>
      </c>
      <c r="M24" s="95" t="str">
        <f t="shared" si="2"/>
        <v/>
      </c>
      <c r="N24" s="95" t="str">
        <f t="shared" si="3"/>
        <v/>
      </c>
      <c r="O24" s="95" t="str">
        <f t="shared" si="4"/>
        <v/>
      </c>
      <c r="P24" s="95" t="str">
        <f t="shared" si="5"/>
        <v/>
      </c>
      <c r="T24" s="95" t="str">
        <f>IF(Doubles!M24="","",Doubles!M24)</f>
        <v/>
      </c>
    </row>
    <row r="25" spans="1:29" ht="13.5">
      <c r="A25" s="95">
        <v>24</v>
      </c>
      <c r="B25" s="95">
        <f>Doubles!H25</f>
        <v>0</v>
      </c>
      <c r="C25" s="95">
        <f>Doubles!I25</f>
        <v>0</v>
      </c>
      <c r="D25" s="97">
        <f>Doubles!K25</f>
        <v>0</v>
      </c>
      <c r="E25" s="95" t="str">
        <f>IF(Doubles!J25="","",Doubles!J25)</f>
        <v/>
      </c>
      <c r="F25" s="95">
        <f>Doubles!L25</f>
        <v>0</v>
      </c>
      <c r="G25" s="95" t="str">
        <f>IF(Doubles!N25="","",Doubles!N25)</f>
        <v/>
      </c>
      <c r="H25" s="95" t="str">
        <f t="shared" si="0"/>
        <v/>
      </c>
      <c r="K25" s="95" t="str">
        <f t="shared" si="1"/>
        <v/>
      </c>
      <c r="M25" s="95" t="str">
        <f t="shared" si="2"/>
        <v/>
      </c>
      <c r="N25" s="95" t="str">
        <f t="shared" si="3"/>
        <v/>
      </c>
      <c r="O25" s="95" t="str">
        <f t="shared" si="4"/>
        <v/>
      </c>
      <c r="P25" s="95" t="str">
        <f t="shared" si="5"/>
        <v/>
      </c>
      <c r="T25" s="95" t="str">
        <f>IF(Doubles!M25="","",Doubles!M25)</f>
        <v/>
      </c>
    </row>
    <row r="26" spans="1:29">
      <c r="F26" s="97">
        <f>COUNTIF(F2:F25,"&gt;0")</f>
        <v>0</v>
      </c>
    </row>
    <row r="27" spans="1:29">
      <c r="E27" s="98" t="s">
        <v>120</v>
      </c>
      <c r="L27" s="99" t="s">
        <v>126</v>
      </c>
      <c r="Z27" s="98" t="s">
        <v>120</v>
      </c>
    </row>
    <row r="29" spans="1:29">
      <c r="A29" s="95">
        <f>IF(LEN(VLOOKUP(B29,Doubles!$A$2:$D$17,4,0))&gt;0,VLOOKUP(B29,Doubles!$A$2:$D$17,4,0),"")</f>
        <v>1</v>
      </c>
      <c r="B29" s="96" t="str">
        <f>Doubles!B63</f>
        <v>geangr</v>
      </c>
      <c r="C29" s="96">
        <v>1</v>
      </c>
      <c r="D29" s="95" t="str">
        <f>VLOOKUP(B29,Doubles!$A$2:$E$17,5,0)</f>
        <v>BRA</v>
      </c>
      <c r="E29" s="95" t="s">
        <v>124</v>
      </c>
      <c r="J29" s="95" t="s">
        <v>88</v>
      </c>
      <c r="Q29" s="95" t="s">
        <v>121</v>
      </c>
      <c r="S29" s="95" t="s">
        <v>122</v>
      </c>
      <c r="T29" s="95" t="str">
        <f>IF(LEN(A29)&gt;0,"("&amp;A29&amp;") "&amp;B29,B29)</f>
        <v>(1) geangr</v>
      </c>
      <c r="V29" s="95" t="s">
        <v>122</v>
      </c>
      <c r="W29" s="95" t="str">
        <f>""</f>
        <v/>
      </c>
    </row>
    <row r="30" spans="1:29">
      <c r="A30" s="95">
        <v>1</v>
      </c>
      <c r="B30" s="95" t="str">
        <f>IF(Doubles!B64="",0,Doubles!B64)</f>
        <v>GHEM 6/4 6/3</v>
      </c>
      <c r="C30" s="99" t="str">
        <f>IF(OR(LEFT(B30,LEN(B$2))=B$2,LEFT(B30,LEN(C$2))=C$2,LEN(B30)&lt;2),"",IF(B30="no pick","","Wrong pick"))</f>
        <v/>
      </c>
      <c r="D30" s="95">
        <f t="shared" ref="D30:D53" si="6">IF(G30=G56,0,1)</f>
        <v>1</v>
      </c>
      <c r="E30" s="95">
        <f t="shared" ref="E30:E53" si="7">IF(AND($I$2=J30,B30=0),1,0)</f>
        <v>0</v>
      </c>
      <c r="F30" s="95" t="str">
        <f>IF(AND(SUM(E30:E53)=$I$4,NOT(B29="Bye")),"Missing picks from "&amp;B29&amp;" ","")</f>
        <v/>
      </c>
      <c r="G30" s="95" t="str">
        <f>IF(B30=0,"",IF(B30="no pick","No Pick",IF(LEFT(B30,LEN(B$2))=B$2,B$2,C$2)))</f>
        <v>Ghem</v>
      </c>
      <c r="H30" s="95" t="str">
        <f t="shared" ref="H30:H53" si="8">IF(L30="","",IF(K30="PTS",IF(LEN(O30)&lt;8,"2-0","2-1"),LEFT(O30,1)&amp;"-"&amp;RIGHT(O30,1)))</f>
        <v>2-0</v>
      </c>
      <c r="I30" s="95" t="str">
        <f>IF(AND(J30=$I$2,F$2=0,NOT(E$2="")),IF(OR(AND(Y30=AA30,Z30=AB30),AND(Y30=AB30,Z30=AA30)),"",IF(AND(Y30=Z30,AA30=AB30),Y30&amp;" +2 v. "&amp;AA30&amp;" +2, ",IF(Y30=AA30,Z30&amp;" v. "&amp;AB30&amp;", ",IF(Z30=AB30,Y30&amp;" v. "&amp;AA30&amp;", ",IF(Y30=AB30,Z30&amp;" v. "&amp;AA30&amp;", ",IF(Z30=AA30,Y30&amp;" v. "&amp;AB30&amp;", ",Y30&amp;" v. "&amp;AA30&amp;", "&amp;Z30&amp;" v. "&amp;AB30&amp;", ")))))),"")</f>
        <v xml:space="preserve">Ghem 2-0 v.  0-0, </v>
      </c>
      <c r="J30" s="97">
        <f>D$2</f>
        <v>1</v>
      </c>
      <c r="K30" s="95" t="str">
        <f t="shared" ref="K30:K53" si="9">IF(LEN(L30)&gt;0,IF(LEN(O30)&lt;4,"SR","PTS"),"")</f>
        <v>PTS</v>
      </c>
      <c r="L30" s="95" t="str">
        <f t="shared" ref="L30:L53" si="10">TRIM(RIGHT(B30,LEN(B30)-LEN(G30)))</f>
        <v>6/4 6/3</v>
      </c>
      <c r="M30" s="95" t="str">
        <f t="shared" ref="M30:M53" si="11">SUBSTITUTE(L30,"-","")</f>
        <v>6/4 6/3</v>
      </c>
      <c r="N30" s="95" t="str">
        <f t="shared" ref="N30:N53" si="12">SUBSTITUTE(M30,","," ")</f>
        <v>6/4 6/3</v>
      </c>
      <c r="O30" s="95" t="str">
        <f t="shared" ref="O30:O53" si="13">IF(AND(LEN(TRIM(SUBSTITUTE(P30,"/","")))&gt;6,OR(LEFT(TRIM(SUBSTITUTE(P30,"/","")),2)="20",LEFT(TRIM(SUBSTITUTE(P30,"/","")),2)="21")),RIGHT(TRIM(SUBSTITUTE(P30,"/","")),LEN(TRIM(SUBSTITUTE(P30,"/","")))-3),TRIM(SUBSTITUTE(P30,"/","")))</f>
        <v>64 63</v>
      </c>
      <c r="P30" s="95" t="str">
        <f t="shared" ref="P30:P53" si="14">SUBSTITUTE(N30,":","")</f>
        <v>6/4 6/3</v>
      </c>
      <c r="Q30" s="95">
        <f>IF(AND(G30=T$2,LEN(G30)&gt;1),1,0)</f>
        <v>0</v>
      </c>
      <c r="R30" s="97">
        <f>Doubles!G$2</f>
        <v>1</v>
      </c>
      <c r="S30" s="95">
        <f>IF(AND(H30=H$2,LEN(H30)&gt;1,Q30=1),1,0)</f>
        <v>0</v>
      </c>
      <c r="T30" s="95" t="str">
        <f>" SR Differences: "&amp;IF(LEN(I30&amp;I31&amp;I32&amp;I33&amp;I34&amp;I35&amp;I36&amp;I37&amp;I38&amp;I39&amp;I40&amp;I41&amp;I42&amp;I43&amp;I44&amp;I45&amp;I46&amp;I47&amp;I48&amp;I49&amp;I50&amp;I51&amp;I52&amp;I53)&lt;3,"None..",I30&amp;I31&amp;I32&amp;I33&amp;I34&amp;I35&amp;I36&amp;I37&amp;I38&amp;I39&amp;I40&amp;I41&amp;I42&amp;I43&amp;I44&amp;I45&amp;I46&amp;I47&amp;I48&amp;I49&amp;I50&amp;I51&amp;I52&amp;I53)</f>
        <v xml:space="preserve"> SR Differences: Ghem 2-0 v.  0-0, Machado 2-0 v.  0-0, Junqueira 2-0 v.  0-0, Laranja 2-1 v.  0-0, PODLIPBIK-CASTILLO 2-0 v.  0-0, Lindell 2-0 v.  0-0, Michon 2-0 v.  0-0, gonzalez 2-0 v.  0-0, pereira 2-0 v.  0-0, collinari 2-0 v.  0-0, giner 2-0 v.  0-0, galdon 2-1 v.  0-0, lobkov 2-0 v.  0-0, santos 2-0 v.  0-0, santos 2-0 v.  0-0, lojda 2-0 v.  0-0, </v>
      </c>
      <c r="V30" s="97">
        <f>VLOOKUP(1,R30:S53,2,0)</f>
        <v>0</v>
      </c>
      <c r="W30" s="95" t="str">
        <f t="shared" ref="W30:W53" si="15">IF(J30=$I$2,IF(OR(G30&amp;G82=G56&amp;G108,G30&amp;G82=G108&amp;G56),"",IF(G30=G82,G30,IF(OR(G30=G56,G30=G108),G82,IF(OR(G82=G56,G82=G108),G30,G30&amp;", "&amp;G82)))),"")</f>
        <v>Ghem</v>
      </c>
      <c r="X30" s="95">
        <f>IF(F$2=0,IF(AND(G30=G82,NOT(G30=G56),NOT(G30=G108),LEN(W30)&gt;0),2,IF(LEN(W30)=0,0,1)),0)</f>
        <v>1</v>
      </c>
      <c r="Y30" s="95" t="str">
        <f t="shared" ref="Y30:Y53" si="16">G30&amp;" "&amp;H30</f>
        <v>Ghem 2-0</v>
      </c>
      <c r="Z30" s="95" t="str">
        <f t="shared" ref="Z30:Z53" si="17">G82&amp;" "&amp;H82</f>
        <v xml:space="preserve"> 0-0</v>
      </c>
      <c r="AA30" s="95" t="str">
        <f t="shared" ref="AA30:AA53" si="18">G56&amp;" "&amp;H56</f>
        <v xml:space="preserve"> 0-0</v>
      </c>
      <c r="AB30" s="95" t="str">
        <f t="shared" ref="AB30:AB53" si="19">G108&amp;" "&amp;H108</f>
        <v xml:space="preserve"> 0-0</v>
      </c>
      <c r="AC30" s="95" t="str">
        <f>IF(AND(LEN(W30)&gt;0,F$2=0),IF(X30=2,W30&amp;" +2, ",W30&amp;", "),"")</f>
        <v xml:space="preserve">Ghem, </v>
      </c>
    </row>
    <row r="31" spans="1:29">
      <c r="A31" s="95">
        <v>2</v>
      </c>
      <c r="B31" s="95" t="str">
        <f>IF(Doubles!B65="",0,Doubles!B65)</f>
        <v>MACHADO 6/4 7/6</v>
      </c>
      <c r="C31" s="99" t="str">
        <f>IF(OR(LEFT(B31,LEN(B$3))=B$3,LEFT(B31,LEN(C$3))=C$3,LEN(B31)&lt;2),"",IF(B31="no pick","","Wrong pick"))</f>
        <v/>
      </c>
      <c r="D31" s="95">
        <f t="shared" si="6"/>
        <v>1</v>
      </c>
      <c r="E31" s="95">
        <f t="shared" si="7"/>
        <v>0</v>
      </c>
      <c r="G31" s="95" t="str">
        <f>IF(B31=0,"",IF(B31="no pick","No Pick",IF(LEFT(B31,LEN(B$3))=B$3,B$3,C$3)))</f>
        <v>Machado</v>
      </c>
      <c r="H31" s="95" t="str">
        <f t="shared" si="8"/>
        <v>2-0</v>
      </c>
      <c r="I31" s="95" t="str">
        <f>IF(AND(J31=$I$2,F$3=0,NOT(E$3="")),IF(OR(AND(Y31=AA31,Z31=AB31),AND(Y31=AB31,Z31=AA31)),"",IF(AND(Y31=Z31,AA31=AB31),Y31&amp;" +2 v. "&amp;AA31&amp;" +2, ",IF(Y31=AA31,Z31&amp;" v. "&amp;AB31&amp;", ",IF(Z31=AB31,Y31&amp;" v. "&amp;AA31&amp;", ",IF(Y31=AB31,Z31&amp;" v. "&amp;AA31&amp;", ",IF(Z31=AA31,Y31&amp;" v. "&amp;AB31&amp;", ",Y31&amp;" v. "&amp;AA31&amp;", "&amp;Z31&amp;" v. "&amp;AB31&amp;", ")))))),"")</f>
        <v xml:space="preserve">Machado 2-0 v.  0-0, </v>
      </c>
      <c r="J31" s="97">
        <f>D$3</f>
        <v>1</v>
      </c>
      <c r="K31" s="95" t="str">
        <f t="shared" si="9"/>
        <v>PTS</v>
      </c>
      <c r="L31" s="95" t="str">
        <f t="shared" si="10"/>
        <v>6/4 7/6</v>
      </c>
      <c r="M31" s="95" t="str">
        <f t="shared" si="11"/>
        <v>6/4 7/6</v>
      </c>
      <c r="N31" s="95" t="str">
        <f t="shared" si="12"/>
        <v>6/4 7/6</v>
      </c>
      <c r="O31" s="95" t="str">
        <f t="shared" si="13"/>
        <v>64 76</v>
      </c>
      <c r="P31" s="95" t="str">
        <f t="shared" si="14"/>
        <v>6/4 7/6</v>
      </c>
      <c r="Q31" s="95">
        <f>IF(AND(G31=T$3,LEN(G31)&gt;1),1,0)</f>
        <v>0</v>
      </c>
      <c r="R31" s="97">
        <f>Doubles!G$3</f>
        <v>2</v>
      </c>
      <c r="S31" s="95">
        <f>IF(AND(H31=H$3,LEN(H31)&gt;1,Q31=1),1,0)</f>
        <v>0</v>
      </c>
      <c r="V31" s="97">
        <f>VLOOKUP(2,R30:S53,2,0)</f>
        <v>0</v>
      </c>
      <c r="W31" s="95" t="str">
        <f t="shared" si="15"/>
        <v>Machado</v>
      </c>
      <c r="X31" s="95">
        <f>IF(F$3=0,IF(AND(G31=G83,NOT(G31=G57),NOT(G31=G109),LEN(W31)&gt;0),2,IF(LEN(W31)=0,0,1)),0)</f>
        <v>1</v>
      </c>
      <c r="Y31" s="95" t="str">
        <f t="shared" si="16"/>
        <v>Machado 2-0</v>
      </c>
      <c r="Z31" s="95" t="str">
        <f t="shared" si="17"/>
        <v xml:space="preserve"> 0-0</v>
      </c>
      <c r="AA31" s="95" t="str">
        <f t="shared" si="18"/>
        <v xml:space="preserve"> 0-0</v>
      </c>
      <c r="AB31" s="95" t="str">
        <f t="shared" si="19"/>
        <v xml:space="preserve"> 0-0</v>
      </c>
      <c r="AC31" s="95" t="str">
        <f>IF(AND(LEN(W31)&gt;0,F$3=0),IF(X31=2,W31&amp;" +2, ",W31&amp;", "),"")</f>
        <v xml:space="preserve">Machado, </v>
      </c>
    </row>
    <row r="32" spans="1:29">
      <c r="A32" s="95">
        <v>3</v>
      </c>
      <c r="B32" s="95" t="str">
        <f>IF(Doubles!B66="",0,Doubles!B66)</f>
        <v>JUNQUEIRA 6/4 7/6</v>
      </c>
      <c r="C32" s="99" t="str">
        <f>IF(OR(LEFT(B32,LEN(B$4))=B$4,LEFT(B32,LEN(C$4))=C$4,LEN(B32)&lt;2),"",IF(B32="no pick","","Wrong pick"))</f>
        <v/>
      </c>
      <c r="D32" s="95">
        <f t="shared" si="6"/>
        <v>1</v>
      </c>
      <c r="E32" s="95">
        <f t="shared" si="7"/>
        <v>0</v>
      </c>
      <c r="G32" s="95" t="str">
        <f>IF(B32=0,"",IF(B32="no pick","No Pick",IF(LEFT(B32,LEN(B$4))=B$4,B$4,C$4)))</f>
        <v>Junqueira</v>
      </c>
      <c r="H32" s="95" t="str">
        <f t="shared" si="8"/>
        <v>2-0</v>
      </c>
      <c r="I32" s="95" t="str">
        <f>IF(AND(J32=$I$2,F$4=0,NOT(E$4="")),IF(OR(AND(Y32=AA32,Z32=AB32),AND(Y32=AB32,Z32=AA32)),"",IF(AND(Y32=Z32,AA32=AB32),Y32&amp;" +2 v. "&amp;AA32&amp;" +2, ",IF(Y32=AA32,Z32&amp;" v. "&amp;AB32&amp;", ",IF(Z32=AB32,Y32&amp;" v. "&amp;AA32&amp;", ",IF(Y32=AB32,Z32&amp;" v. "&amp;AA32&amp;", ",IF(Z32=AA32,Y32&amp;" v. "&amp;AB32&amp;", ",Y32&amp;" v. "&amp;AA32&amp;", "&amp;Z32&amp;" v. "&amp;AB32&amp;", ")))))),"")</f>
        <v xml:space="preserve">Junqueira 2-0 v.  0-0, </v>
      </c>
      <c r="J32" s="97">
        <f>D$4</f>
        <v>1</v>
      </c>
      <c r="K32" s="95" t="str">
        <f t="shared" si="9"/>
        <v>PTS</v>
      </c>
      <c r="L32" s="95" t="str">
        <f t="shared" si="10"/>
        <v>6/4 7/6</v>
      </c>
      <c r="M32" s="95" t="str">
        <f t="shared" si="11"/>
        <v>6/4 7/6</v>
      </c>
      <c r="N32" s="95" t="str">
        <f t="shared" si="12"/>
        <v>6/4 7/6</v>
      </c>
      <c r="O32" s="95" t="str">
        <f t="shared" si="13"/>
        <v>64 76</v>
      </c>
      <c r="P32" s="95" t="str">
        <f t="shared" si="14"/>
        <v>6/4 7/6</v>
      </c>
      <c r="Q32" s="95">
        <f>IF(AND(G32=T$4,LEN(G32)&gt;1),1,0)</f>
        <v>0</v>
      </c>
      <c r="R32" s="97">
        <f>Doubles!G$4</f>
        <v>3</v>
      </c>
      <c r="S32" s="95">
        <f>IF(AND(H32=H$4,LEN(H32)&gt;1,Q32=1),1,0)</f>
        <v>0</v>
      </c>
      <c r="T32" s="101">
        <f>SUMIF(J30:J53,$I$2,X30:X53)</f>
        <v>16</v>
      </c>
      <c r="V32" s="97">
        <f>VLOOKUP(3,R30:S53,2,0)</f>
        <v>0</v>
      </c>
      <c r="W32" s="95" t="str">
        <f t="shared" si="15"/>
        <v>Junqueira</v>
      </c>
      <c r="X32" s="95">
        <f>IF(F$4=0,IF(AND(G32=G84,NOT(G32=G58),NOT(G32=G110),LEN(W32)&gt;0),2,IF(LEN(W32)=0,0,1)),0)</f>
        <v>1</v>
      </c>
      <c r="Y32" s="95" t="str">
        <f t="shared" si="16"/>
        <v>Junqueira 2-0</v>
      </c>
      <c r="Z32" s="95" t="str">
        <f t="shared" si="17"/>
        <v xml:space="preserve"> 0-0</v>
      </c>
      <c r="AA32" s="95" t="str">
        <f t="shared" si="18"/>
        <v xml:space="preserve"> 0-0</v>
      </c>
      <c r="AB32" s="95" t="str">
        <f t="shared" si="19"/>
        <v xml:space="preserve"> 0-0</v>
      </c>
      <c r="AC32" s="95" t="str">
        <f>IF(AND(LEN(W32)&gt;0,F$4=0),IF(X32=2,W32&amp;" +2, ",W32&amp;", "),"")</f>
        <v xml:space="preserve">Junqueira, </v>
      </c>
    </row>
    <row r="33" spans="1:29">
      <c r="A33" s="95">
        <v>4</v>
      </c>
      <c r="B33" s="95" t="str">
        <f>IF(Doubles!B67="",0,Doubles!B67)</f>
        <v>LARANJA 4/6 6/4 6/3</v>
      </c>
      <c r="C33" s="99" t="str">
        <f>IF(OR(LEFT(B33,LEN(B$5))=B$5,LEFT(B33,LEN(C$5))=C$5,LEN(B33)&lt;2),"",IF(B33="no pick","","Wrong pick"))</f>
        <v/>
      </c>
      <c r="D33" s="95">
        <f t="shared" si="6"/>
        <v>1</v>
      </c>
      <c r="E33" s="95">
        <f t="shared" si="7"/>
        <v>0</v>
      </c>
      <c r="G33" s="95" t="str">
        <f>IF(B33=0,"",IF(B33="no pick","No Pick",IF(LEFT(B33,LEN(B$5))=B$5,B$5,C$5)))</f>
        <v>Laranja</v>
      </c>
      <c r="H33" s="95" t="str">
        <f t="shared" si="8"/>
        <v>2-1</v>
      </c>
      <c r="I33" s="95" t="str">
        <f>IF(AND(J33=$I$2,F$5=0,NOT(E$5="")),IF(OR(AND(Y33=AA33,Z33=AB33),AND(Y33=AB33,Z33=AA33)),"",IF(AND(Y33=Z33,AA33=AB33),Y33&amp;" +2 v. "&amp;AA33&amp;" +2, ",IF(Y33=AA33,Z33&amp;" v. "&amp;AB33&amp;", ",IF(Z33=AB33,Y33&amp;" v. "&amp;AA33&amp;", ",IF(Y33=AB33,Z33&amp;" v. "&amp;AA33&amp;", ",IF(Z33=AA33,Y33&amp;" v. "&amp;AB33&amp;", ",Y33&amp;" v. "&amp;AA33&amp;", "&amp;Z33&amp;" v. "&amp;AB33&amp;", ")))))),"")</f>
        <v xml:space="preserve">Laranja 2-1 v.  0-0, </v>
      </c>
      <c r="J33" s="97">
        <f>D$5</f>
        <v>1</v>
      </c>
      <c r="K33" s="95" t="str">
        <f t="shared" si="9"/>
        <v>PTS</v>
      </c>
      <c r="L33" s="95" t="str">
        <f t="shared" si="10"/>
        <v>4/6 6/4 6/3</v>
      </c>
      <c r="M33" s="95" t="str">
        <f t="shared" si="11"/>
        <v>4/6 6/4 6/3</v>
      </c>
      <c r="N33" s="95" t="str">
        <f t="shared" si="12"/>
        <v>4/6 6/4 6/3</v>
      </c>
      <c r="O33" s="95" t="str">
        <f t="shared" si="13"/>
        <v>46 64 63</v>
      </c>
      <c r="P33" s="95" t="str">
        <f t="shared" si="14"/>
        <v>4/6 6/4 6/3</v>
      </c>
      <c r="Q33" s="95">
        <f>IF(AND(G33=T$5,LEN(G33)&gt;1),1,0)</f>
        <v>0</v>
      </c>
      <c r="R33" s="97">
        <f>Doubles!G$5</f>
        <v>4</v>
      </c>
      <c r="S33" s="95">
        <f>IF(AND(H33=H$5,LEN(H33)&gt;1,Q33=1),1,0)</f>
        <v>0</v>
      </c>
      <c r="T33" s="95" t="s">
        <v>113</v>
      </c>
      <c r="U33" s="95" t="str">
        <f>IF(COUNTIF(C30:C131,"=Wrong Pick")&gt;0,"Incorrect pick, probably a spelling mistake",IF(T39&lt;10,"0","")&amp;T39&amp;":"&amp;IF(T40&lt;10,"0","")&amp;T40&amp;" | [b]"&amp;IF(LEN(U34)&gt;0,U34,T29&amp;"/"&amp;T81&amp;IF(LEN(D29)&gt;1," ("&amp;D29&amp;"/"&amp;D81&amp;")","")&amp;"[/b] vs. [b]"&amp;T55&amp;"/"&amp;T107&amp;IF(LEN(D55)&gt;1," ("&amp;D55&amp;"/"&amp;D107&amp;")","")&amp;"[/b]"&amp;IF(Doubles!$D$21&gt;1," (SR "&amp;U39&amp;":"&amp;U40&amp;")","")&amp;" - "&amp;IF(AND(F30="",F56="",F82="",F108=""),IF(LEN(U85)&gt;1,LEFT(U85,LEN(U85)-2)&amp;" vs. "&amp;LEFT(U86,LEN(U86)-2),IF(SUM(F$2:F$25)=0,"Same Winners; ",""))&amp;IF(AND(OR(AND(Doubles!$D$20&gt;1,Doubles!$D$21&lt;Doubles!$D$20),MOD(T32+T39+T40,2)=0),NOT(Doubles!$D$23="No")),LEFT(T30,LEN(T30)-2),""),F30&amp;F56&amp;F82&amp;F108)))</f>
        <v>00:00 | [b][color=blue](1) geangr/A_Skywalker (BRA/BUL)[/color][/b] vs. [b]Bye[/b]</v>
      </c>
      <c r="V33" s="97">
        <f>VLOOKUP(4,R30:S53,2,0)</f>
        <v>0</v>
      </c>
      <c r="W33" s="95" t="str">
        <f t="shared" si="15"/>
        <v>Laranja</v>
      </c>
      <c r="X33" s="95">
        <f>IF(F$5=0,IF(AND(G33=G85,NOT(G33=G59),NOT(G33=G111),LEN(W33)&gt;0),2,IF(LEN(W33)=0,0,1)),0)</f>
        <v>1</v>
      </c>
      <c r="Y33" s="95" t="str">
        <f t="shared" si="16"/>
        <v>Laranja 2-1</v>
      </c>
      <c r="Z33" s="95" t="str">
        <f t="shared" si="17"/>
        <v xml:space="preserve"> 0-0</v>
      </c>
      <c r="AA33" s="95" t="str">
        <f t="shared" si="18"/>
        <v xml:space="preserve"> 0-0</v>
      </c>
      <c r="AB33" s="95" t="str">
        <f t="shared" si="19"/>
        <v xml:space="preserve"> 0-0</v>
      </c>
      <c r="AC33" s="95" t="str">
        <f>IF(AND(LEN(W33)&gt;0,F$5=0),IF(X33=2,W33&amp;" +2, ",W33&amp;", "),"")</f>
        <v xml:space="preserve">Laranja, </v>
      </c>
    </row>
    <row r="34" spans="1:29">
      <c r="A34" s="95">
        <v>5</v>
      </c>
      <c r="B34" s="95" t="str">
        <f>IF(Doubles!B68="",0,Doubles!B68)</f>
        <v>PODLIPBIK-CASTILLO 6/1 6/3</v>
      </c>
      <c r="C34" s="99" t="str">
        <f>IF(OR(LEFT(B34,LEN(B$6))=B$6,LEFT(B34,LEN(C$6))=C$6,LEN(B34)&lt;2),"",IF(B34="no pick","","Wrong pick"))</f>
        <v/>
      </c>
      <c r="D34" s="95">
        <f t="shared" si="6"/>
        <v>1</v>
      </c>
      <c r="E34" s="95">
        <f t="shared" si="7"/>
        <v>0</v>
      </c>
      <c r="G34" s="95" t="str">
        <f>IF(B34=0,"",IF(B34="no pick","No Pick",IF(LEFT(B34,LEN(B$6))=B$6,B$6,C$6)))</f>
        <v>PODLIPBIK-CASTILLO</v>
      </c>
      <c r="H34" s="95" t="str">
        <f t="shared" si="8"/>
        <v>2-0</v>
      </c>
      <c r="I34" s="95" t="str">
        <f>IF(AND(J34=$I$2,F$6=0,NOT(E$6="")),IF(OR(AND(Y34=AA34,Z34=AB34),AND(Y34=AB34,Z34=AA34)),"",IF(AND(Y34=Z34,AA34=AB34),Y34&amp;" +2 v. "&amp;AA34&amp;" +2, ",IF(Y34=AA34,Z34&amp;" v. "&amp;AB34&amp;", ",IF(Z34=AB34,Y34&amp;" v. "&amp;AA34&amp;", ",IF(Y34=AB34,Z34&amp;" v. "&amp;AA34&amp;", ",IF(Z34=AA34,Y34&amp;" v. "&amp;AB34&amp;", ",Y34&amp;" v. "&amp;AA34&amp;", "&amp;Z34&amp;" v. "&amp;AB34&amp;", ")))))),"")</f>
        <v xml:space="preserve">PODLIPBIK-CASTILLO 2-0 v.  0-0, </v>
      </c>
      <c r="J34" s="97">
        <f>D$6</f>
        <v>1</v>
      </c>
      <c r="K34" s="95" t="str">
        <f t="shared" si="9"/>
        <v>PTS</v>
      </c>
      <c r="L34" s="95" t="str">
        <f t="shared" si="10"/>
        <v>6/1 6/3</v>
      </c>
      <c r="M34" s="95" t="str">
        <f t="shared" si="11"/>
        <v>6/1 6/3</v>
      </c>
      <c r="N34" s="95" t="str">
        <f t="shared" si="12"/>
        <v>6/1 6/3</v>
      </c>
      <c r="O34" s="95" t="str">
        <f t="shared" si="13"/>
        <v>61 63</v>
      </c>
      <c r="P34" s="95" t="str">
        <f t="shared" si="14"/>
        <v>6/1 6/3</v>
      </c>
      <c r="Q34" s="95">
        <f>IF(AND(G34=T$6,LEN(G34)&gt;1),1,0)</f>
        <v>0</v>
      </c>
      <c r="R34" s="97">
        <f>Doubles!G$6</f>
        <v>5</v>
      </c>
      <c r="S34" s="95">
        <f>IF(AND(H34=H$6,LEN(H34)&gt;1,Q34=1),1,0)</f>
        <v>0</v>
      </c>
      <c r="U34" s="95" t="str">
        <f>IF(B29="Bye","Bye[/b] vs. [b][color=blue]"&amp;T55&amp;"/"&amp;T107&amp;IF(LEN(D55)&gt;1," ("&amp;D55&amp;"/"&amp;D107&amp;")","")&amp;"[/color][/b]",IF(B55="Bye","[color=blue]"&amp;T29&amp;"/"&amp;T81&amp;IF(LEN(D29)&gt;1," ("&amp;D29&amp;"/"&amp;D81&amp;")","")&amp;"[/color][/b] vs. [b]Bye[/b]",""))</f>
        <v>[color=blue](1) geangr/A_Skywalker (BRA/BUL)[/color][/b] vs. [b]Bye[/b]</v>
      </c>
      <c r="V34" s="97">
        <f>VLOOKUP(5,R30:S53,2,0)</f>
        <v>0</v>
      </c>
      <c r="W34" s="95" t="str">
        <f t="shared" si="15"/>
        <v>PODLIPBIK-CASTILLO</v>
      </c>
      <c r="X34" s="95">
        <f>IF(F$6=0,IF(AND(G34=G86,NOT(G34=G60),NOT(G34=G112),LEN(W34)&gt;0),2,IF(LEN(W34)=0,0,1)),0)</f>
        <v>1</v>
      </c>
      <c r="Y34" s="95" t="str">
        <f t="shared" si="16"/>
        <v>PODLIPBIK-CASTILLO 2-0</v>
      </c>
      <c r="Z34" s="95" t="str">
        <f t="shared" si="17"/>
        <v xml:space="preserve"> 0-0</v>
      </c>
      <c r="AA34" s="95" t="str">
        <f t="shared" si="18"/>
        <v xml:space="preserve"> 0-0</v>
      </c>
      <c r="AB34" s="95" t="str">
        <f t="shared" si="19"/>
        <v xml:space="preserve"> 0-0</v>
      </c>
      <c r="AC34" s="95" t="str">
        <f>IF(AND(LEN(W34)&gt;0,F$6=0),IF(X34=2,W34&amp;" +2, ",W34&amp;", "),"")</f>
        <v xml:space="preserve">PODLIPBIK-CASTILLO, </v>
      </c>
    </row>
    <row r="35" spans="1:29">
      <c r="A35" s="95">
        <v>6</v>
      </c>
      <c r="B35" s="95" t="str">
        <f>IF(Doubles!B69="",0,Doubles!B69)</f>
        <v>LINDELL 6/4 7/6</v>
      </c>
      <c r="C35" s="99" t="str">
        <f>IF(OR(LEFT(B35,LEN(B$7))=B$7,LEFT(B35,LEN(C$7))=C$7,LEN(B35)&lt;2),"",IF(B35="no pick","","Wrong pick"))</f>
        <v/>
      </c>
      <c r="D35" s="95">
        <f t="shared" si="6"/>
        <v>1</v>
      </c>
      <c r="E35" s="95">
        <f t="shared" si="7"/>
        <v>0</v>
      </c>
      <c r="G35" s="95" t="str">
        <f>IF(B35=0,"",IF(B35="no pick","No Pick",IF(LEFT(B35,LEN(B$7))=B$7,B$7,C$7)))</f>
        <v>Lindell</v>
      </c>
      <c r="H35" s="95" t="str">
        <f t="shared" si="8"/>
        <v>2-0</v>
      </c>
      <c r="I35" s="95" t="str">
        <f>IF(AND(J35=$I$2,F$7=0,NOT(E$7="")),IF(OR(AND(Y35=AA35,Z35=AB35),AND(Y35=AB35,Z35=AA35)),"",IF(AND(Y35=Z35,AA35=AB35),Y35&amp;" +2 v. "&amp;AA35&amp;" +2, ",IF(Y35=AA35,Z35&amp;" v. "&amp;AB35&amp;", ",IF(Z35=AB35,Y35&amp;" v. "&amp;AA35&amp;", ",IF(Y35=AB35,Z35&amp;" v. "&amp;AA35&amp;", ",IF(Z35=AA35,Y35&amp;" v. "&amp;AB35&amp;", ",Y35&amp;" v. "&amp;AA35&amp;", "&amp;Z35&amp;" v. "&amp;AB35&amp;", ")))))),"")</f>
        <v xml:space="preserve">Lindell 2-0 v.  0-0, </v>
      </c>
      <c r="J35" s="97">
        <f>D$7</f>
        <v>1</v>
      </c>
      <c r="K35" s="95" t="str">
        <f t="shared" si="9"/>
        <v>PTS</v>
      </c>
      <c r="L35" s="95" t="str">
        <f t="shared" si="10"/>
        <v>6/4 7/6</v>
      </c>
      <c r="M35" s="95" t="str">
        <f t="shared" si="11"/>
        <v>6/4 7/6</v>
      </c>
      <c r="N35" s="95" t="str">
        <f t="shared" si="12"/>
        <v>6/4 7/6</v>
      </c>
      <c r="O35" s="95" t="str">
        <f t="shared" si="13"/>
        <v>64 76</v>
      </c>
      <c r="P35" s="95" t="str">
        <f t="shared" si="14"/>
        <v>6/4 7/6</v>
      </c>
      <c r="Q35" s="95">
        <f>IF(AND(G35=T$7,LEN(G35)&gt;1),1,0)</f>
        <v>0</v>
      </c>
      <c r="R35" s="97">
        <f>Doubles!G$7</f>
        <v>6</v>
      </c>
      <c r="S35" s="95">
        <f>IF(AND(H35=H$7,LEN(H35)&gt;1,Q35=1),1,0)</f>
        <v>0</v>
      </c>
      <c r="T35" s="105">
        <f>SUM(Q30:Q53)</f>
        <v>0</v>
      </c>
      <c r="U35" s="97">
        <f>SUM(S30:S53)</f>
        <v>0</v>
      </c>
      <c r="V35" s="97">
        <f>VLOOKUP(6,R30:S53,2,0)</f>
        <v>0</v>
      </c>
      <c r="W35" s="95" t="str">
        <f t="shared" si="15"/>
        <v>Lindell</v>
      </c>
      <c r="X35" s="95">
        <f>IF(F$7=0,IF(AND(G35=G87,NOT(G35=G61),NOT(G35=G113),LEN(W35)&gt;0),2,IF(LEN(W35)=0,0,1)),0)</f>
        <v>1</v>
      </c>
      <c r="Y35" s="95" t="str">
        <f t="shared" si="16"/>
        <v>Lindell 2-0</v>
      </c>
      <c r="Z35" s="95" t="str">
        <f t="shared" si="17"/>
        <v xml:space="preserve"> 0-0</v>
      </c>
      <c r="AA35" s="95" t="str">
        <f t="shared" si="18"/>
        <v xml:space="preserve"> 0-0</v>
      </c>
      <c r="AB35" s="95" t="str">
        <f t="shared" si="19"/>
        <v xml:space="preserve"> 0-0</v>
      </c>
      <c r="AC35" s="95" t="str">
        <f>IF(AND(LEN(W35)&gt;0,F$7=0),IF(X35=2,W35&amp;" +2, ",W35&amp;", "),"")</f>
        <v xml:space="preserve">Lindell, </v>
      </c>
    </row>
    <row r="36" spans="1:29">
      <c r="A36" s="95">
        <v>7</v>
      </c>
      <c r="B36" s="95" t="str">
        <f>IF(Doubles!B70="",0,Doubles!B70)</f>
        <v>MICHON 6/4 6/3</v>
      </c>
      <c r="C36" s="99" t="str">
        <f>IF(OR(LEFT(B36,LEN(B$8))=B$8,LEFT(B36,LEN(C$8))=C$8,LEN(B36)&lt;2),"",IF(B36="no pick","","Wrong pick"))</f>
        <v/>
      </c>
      <c r="D36" s="95">
        <f t="shared" si="6"/>
        <v>1</v>
      </c>
      <c r="E36" s="95">
        <f t="shared" si="7"/>
        <v>0</v>
      </c>
      <c r="G36" s="95" t="str">
        <f>IF(B36=0,"",IF(B36="no pick","No Pick",IF(LEFT(B36,LEN(B$8))=B$8,B$8,C$8)))</f>
        <v>Michon</v>
      </c>
      <c r="H36" s="95" t="str">
        <f t="shared" si="8"/>
        <v>2-0</v>
      </c>
      <c r="I36" s="95" t="str">
        <f>IF(AND(J36=$I$2,F$8=0,NOT(E$8="")),IF(OR(AND(Y36=AA36,Z36=AB36),AND(Y36=AB36,Z36=AA36)),"",IF(AND(Y36=Z36,AA36=AB36),Y36&amp;" +2 v. "&amp;AA36&amp;" +2, ",IF(Y36=AA36,Z36&amp;" v. "&amp;AB36&amp;", ",IF(Z36=AB36,Y36&amp;" v. "&amp;AA36&amp;", ",IF(Y36=AB36,Z36&amp;" v. "&amp;AA36&amp;", ",IF(Z36=AA36,Y36&amp;" v. "&amp;AB36&amp;", ",Y36&amp;" v. "&amp;AA36&amp;", "&amp;Z36&amp;" v. "&amp;AB36&amp;", ")))))),"")</f>
        <v xml:space="preserve">Michon 2-0 v.  0-0, </v>
      </c>
      <c r="J36" s="97">
        <f>D$8</f>
        <v>1</v>
      </c>
      <c r="K36" s="95" t="str">
        <f t="shared" si="9"/>
        <v>PTS</v>
      </c>
      <c r="L36" s="95" t="str">
        <f t="shared" si="10"/>
        <v>6/4 6/3</v>
      </c>
      <c r="M36" s="95" t="str">
        <f t="shared" si="11"/>
        <v>6/4 6/3</v>
      </c>
      <c r="N36" s="95" t="str">
        <f t="shared" si="12"/>
        <v>6/4 6/3</v>
      </c>
      <c r="O36" s="95" t="str">
        <f t="shared" si="13"/>
        <v>64 63</v>
      </c>
      <c r="P36" s="95" t="str">
        <f t="shared" si="14"/>
        <v>6/4 6/3</v>
      </c>
      <c r="Q36" s="95">
        <f>IF(AND(G36=T$8,LEN(G36)&gt;1),1,0)</f>
        <v>0</v>
      </c>
      <c r="R36" s="97">
        <f>Doubles!G$8</f>
        <v>7</v>
      </c>
      <c r="S36" s="95">
        <f>IF(AND(H36=H$8,LEN(H36)&gt;1,Q36=1),1,0)</f>
        <v>0</v>
      </c>
      <c r="T36" s="105">
        <f>SUM(Q56:Q79)</f>
        <v>0</v>
      </c>
      <c r="U36" s="97">
        <f>SUM(S56:S79)</f>
        <v>0</v>
      </c>
      <c r="V36" s="97">
        <f>VLOOKUP(7,R30:S53,2,0)</f>
        <v>0</v>
      </c>
      <c r="W36" s="95" t="str">
        <f t="shared" si="15"/>
        <v>Michon</v>
      </c>
      <c r="X36" s="95">
        <f>IF(F$8=0,IF(AND(G36=G88,NOT(G36=G62),NOT(G36=G114),LEN(W36)&gt;0),2,IF(LEN(W36)=0,0,1)),0)</f>
        <v>1</v>
      </c>
      <c r="Y36" s="95" t="str">
        <f t="shared" si="16"/>
        <v>Michon 2-0</v>
      </c>
      <c r="Z36" s="95" t="str">
        <f t="shared" si="17"/>
        <v xml:space="preserve"> 0-0</v>
      </c>
      <c r="AA36" s="95" t="str">
        <f t="shared" si="18"/>
        <v xml:space="preserve"> 0-0</v>
      </c>
      <c r="AB36" s="95" t="str">
        <f t="shared" si="19"/>
        <v xml:space="preserve"> 0-0</v>
      </c>
      <c r="AC36" s="95" t="str">
        <f>IF(AND(LEN(W36)&gt;0,F$8=0),IF(X36=2,W36&amp;" +2, ",W36&amp;", "),"")</f>
        <v xml:space="preserve">Michon, </v>
      </c>
    </row>
    <row r="37" spans="1:29">
      <c r="A37" s="95">
        <v>8</v>
      </c>
      <c r="B37" s="95" t="str">
        <f>IF(Doubles!B71="",0,Doubles!B71)</f>
        <v>GONZALEZ 6/4 6/3</v>
      </c>
      <c r="C37" s="99" t="str">
        <f>IF(OR(LEFT(B37,LEN(B$9))=B$9,LEFT(B37,LEN(C$9))=C$9,LEN(B37)&lt;2),"",IF(B37="no pick","","Wrong pick"))</f>
        <v/>
      </c>
      <c r="D37" s="95">
        <f t="shared" si="6"/>
        <v>1</v>
      </c>
      <c r="E37" s="95">
        <f t="shared" si="7"/>
        <v>0</v>
      </c>
      <c r="G37" s="95" t="str">
        <f>IF(B37=0,"",IF(B37="no pick","No Pick",IF(LEFT(B37,LEN(B$9))=B$9,B$9,C$9)))</f>
        <v>gonzalez</v>
      </c>
      <c r="H37" s="95" t="str">
        <f t="shared" si="8"/>
        <v>2-0</v>
      </c>
      <c r="I37" s="95" t="str">
        <f>IF(AND(J37=$I$2,F$9=0,NOT(E$9="")),IF(OR(AND(Y37=AA37,Z37=AB37),AND(Y37=AB37,Z37=AA37)),"",IF(AND(Y37=Z37,AA37=AB37),Y37&amp;" +2 v. "&amp;AA37&amp;" +2, ",IF(Y37=AA37,Z37&amp;" v. "&amp;AB37&amp;", ",IF(Z37=AB37,Y37&amp;" v. "&amp;AA37&amp;", ",IF(Y37=AB37,Z37&amp;" v. "&amp;AA37&amp;", ",IF(Z37=AA37,Y37&amp;" v. "&amp;AB37&amp;", ",Y37&amp;" v. "&amp;AA37&amp;", "&amp;Z37&amp;" v. "&amp;AB37&amp;", ")))))),"")</f>
        <v xml:space="preserve">gonzalez 2-0 v.  0-0, </v>
      </c>
      <c r="J37" s="97">
        <f>D$9</f>
        <v>1</v>
      </c>
      <c r="K37" s="95" t="str">
        <f t="shared" si="9"/>
        <v>PTS</v>
      </c>
      <c r="L37" s="95" t="str">
        <f t="shared" si="10"/>
        <v>6/4 6/3</v>
      </c>
      <c r="M37" s="95" t="str">
        <f t="shared" si="11"/>
        <v>6/4 6/3</v>
      </c>
      <c r="N37" s="95" t="str">
        <f t="shared" si="12"/>
        <v>6/4 6/3</v>
      </c>
      <c r="O37" s="95" t="str">
        <f t="shared" si="13"/>
        <v>64 63</v>
      </c>
      <c r="P37" s="95" t="str">
        <f t="shared" si="14"/>
        <v>6/4 6/3</v>
      </c>
      <c r="Q37" s="95">
        <f>IF(AND(G37=T$9,LEN(G37)&gt;1),1,0)</f>
        <v>0</v>
      </c>
      <c r="R37" s="97">
        <f>Doubles!G$9</f>
        <v>8</v>
      </c>
      <c r="S37" s="95">
        <f>IF(AND(H37=H$9,LEN(H37)&gt;1,Q37=1),1,0)</f>
        <v>0</v>
      </c>
      <c r="V37" s="97">
        <f>VLOOKUP(8,R30:S53,2,0)</f>
        <v>0</v>
      </c>
      <c r="W37" s="95" t="str">
        <f t="shared" si="15"/>
        <v>gonzalez</v>
      </c>
      <c r="X37" s="95">
        <f>IF(F$9=0,IF(AND(G37=G89,NOT(G37=G63),NOT(G37=G115),LEN(W37)&gt;0),2,IF(LEN(W37)=0,0,1)),0)</f>
        <v>1</v>
      </c>
      <c r="Y37" s="95" t="str">
        <f t="shared" si="16"/>
        <v>gonzalez 2-0</v>
      </c>
      <c r="Z37" s="95" t="str">
        <f t="shared" si="17"/>
        <v xml:space="preserve"> 0-0</v>
      </c>
      <c r="AA37" s="95" t="str">
        <f t="shared" si="18"/>
        <v xml:space="preserve"> 0-0</v>
      </c>
      <c r="AB37" s="95" t="str">
        <f t="shared" si="19"/>
        <v xml:space="preserve"> 0-0</v>
      </c>
      <c r="AC37" s="95" t="str">
        <f>IF(AND(LEN(W37)&gt;0,F$9=0),IF(X37=2,W37&amp;" +2, ",W37&amp;", "),"")</f>
        <v xml:space="preserve">gonzalez, </v>
      </c>
    </row>
    <row r="38" spans="1:29">
      <c r="A38" s="95">
        <v>9</v>
      </c>
      <c r="B38" s="95" t="str">
        <f>IF(Doubles!B72="",0,Doubles!B72)</f>
        <v>PEREIRA 6/4 6/2</v>
      </c>
      <c r="C38" s="99" t="str">
        <f>IF(OR(LEFT(B38,LEN(B$10))=B$10,LEFT(B38,LEN(C$10))=C$10,LEN(B38)&lt;2),"",IF(B38="no pick","","Wrong pick"))</f>
        <v/>
      </c>
      <c r="D38" s="95">
        <f t="shared" si="6"/>
        <v>1</v>
      </c>
      <c r="E38" s="95">
        <f t="shared" si="7"/>
        <v>0</v>
      </c>
      <c r="G38" s="95" t="str">
        <f>IF(B38=0,"",IF(B38="no pick","No Pick",IF(LEFT(B38,LEN(B$10))=B$10,B$10,C$10)))</f>
        <v>pereira</v>
      </c>
      <c r="H38" s="95" t="str">
        <f t="shared" si="8"/>
        <v>2-0</v>
      </c>
      <c r="I38" s="95" t="str">
        <f>IF(AND(J38=$I$2,F$10=0,NOT(E$10="")),IF(OR(AND(Y38=AA38,Z38=AB38),AND(Y38=AB38,Z38=AA38)),"",IF(AND(Y38=Z38,AA38=AB38),Y38&amp;" +2 v. "&amp;AA38&amp;" +2, ",IF(Y38=AA38,Z38&amp;" v. "&amp;AB38&amp;", ",IF(Z38=AB38,Y38&amp;" v. "&amp;AA38&amp;", ",IF(Y38=AB38,Z38&amp;" v. "&amp;AA38&amp;", ",IF(Z38=AA38,Y38&amp;" v. "&amp;AB38&amp;", ",Y38&amp;" v. "&amp;AA38&amp;", "&amp;Z38&amp;" v. "&amp;AB38&amp;", ")))))),"")</f>
        <v xml:space="preserve">pereira 2-0 v.  0-0, </v>
      </c>
      <c r="J38" s="97">
        <f>D$10</f>
        <v>1</v>
      </c>
      <c r="K38" s="95" t="str">
        <f t="shared" si="9"/>
        <v>PTS</v>
      </c>
      <c r="L38" s="95" t="str">
        <f t="shared" si="10"/>
        <v>6/4 6/2</v>
      </c>
      <c r="M38" s="95" t="str">
        <f t="shared" si="11"/>
        <v>6/4 6/2</v>
      </c>
      <c r="N38" s="95" t="str">
        <f t="shared" si="12"/>
        <v>6/4 6/2</v>
      </c>
      <c r="O38" s="95" t="str">
        <f t="shared" si="13"/>
        <v>64 62</v>
      </c>
      <c r="P38" s="95" t="str">
        <f t="shared" si="14"/>
        <v>6/4 6/2</v>
      </c>
      <c r="Q38" s="95">
        <f>IF(AND(G38=T$10,LEN(G38)&gt;1),1,0)</f>
        <v>0</v>
      </c>
      <c r="R38" s="97">
        <f>Doubles!G$10</f>
        <v>9</v>
      </c>
      <c r="S38" s="95">
        <f>IF(AND(H38=H$10,LEN(H38)&gt;1,Q38=1),1,0)</f>
        <v>0</v>
      </c>
      <c r="T38" s="95" t="e">
        <f>VLOOKUP("Winner",T56:U80,2,0)</f>
        <v>#N/A</v>
      </c>
      <c r="U38" s="95" t="e">
        <f>VLOOKUP(T38,U56:W80,3,0)</f>
        <v>#N/A</v>
      </c>
      <c r="V38" s="97">
        <f>VLOOKUP(9,R30:S53,2,0)</f>
        <v>0</v>
      </c>
      <c r="W38" s="95" t="str">
        <f t="shared" si="15"/>
        <v>pereira</v>
      </c>
      <c r="X38" s="95">
        <f>IF(F$10=0,IF(AND(G38=G90,NOT(G38=G64),NOT(G38=G116),LEN(W38)&gt;0),2,IF(LEN(W38)=0,0,1)),0)</f>
        <v>1</v>
      </c>
      <c r="Y38" s="95" t="str">
        <f t="shared" si="16"/>
        <v>pereira 2-0</v>
      </c>
      <c r="Z38" s="95" t="str">
        <f t="shared" si="17"/>
        <v xml:space="preserve"> 0-0</v>
      </c>
      <c r="AA38" s="95" t="str">
        <f t="shared" si="18"/>
        <v xml:space="preserve"> 0-0</v>
      </c>
      <c r="AB38" s="95" t="str">
        <f t="shared" si="19"/>
        <v xml:space="preserve"> 0-0</v>
      </c>
      <c r="AC38" s="95" t="str">
        <f>IF(AND(LEN(W38)&gt;0,F$10=0),IF(X38=2,W38&amp;" +2, ",W38&amp;", "),"")</f>
        <v xml:space="preserve">pereira, </v>
      </c>
    </row>
    <row r="39" spans="1:29">
      <c r="A39" s="95">
        <v>10</v>
      </c>
      <c r="B39" s="95" t="str">
        <f>IF(Doubles!B73="",0,Doubles!B73)</f>
        <v>COLLINARI 6/4 6/3</v>
      </c>
      <c r="C39" s="99" t="str">
        <f>IF(OR(LEFT(B39,LEN(B$11))=B$11,LEFT(B39,LEN(C$11))=C$11,LEN(B39)&lt;2),"",IF(B39="no pick","","Wrong pick"))</f>
        <v/>
      </c>
      <c r="D39" s="95">
        <f t="shared" si="6"/>
        <v>1</v>
      </c>
      <c r="E39" s="95">
        <f t="shared" si="7"/>
        <v>0</v>
      </c>
      <c r="G39" s="95" t="str">
        <f>IF(B39=0,"",IF(B39="no pick","No Pick",IF(LEFT(B39,LEN(B$11))=B$11,B$11,C$11)))</f>
        <v>collinari</v>
      </c>
      <c r="H39" s="95" t="str">
        <f t="shared" si="8"/>
        <v>2-0</v>
      </c>
      <c r="I39" s="95" t="str">
        <f>IF(AND(J39=$I$2,F$11=0,NOT(E$11="")),IF(OR(AND(Y39=AA39,Z39=AB39),AND(Y39=AB39,Z39=AA39)),"",IF(AND(Y39=Z39,AA39=AB39),Y39&amp;" +2 v. "&amp;AA39&amp;" +2, ",IF(Y39=AA39,Z39&amp;" v. "&amp;AB39&amp;", ",IF(Z39=AB39,Y39&amp;" v. "&amp;AA39&amp;", ",IF(Y39=AB39,Z39&amp;" v. "&amp;AA39&amp;", ",IF(Z39=AA39,Y39&amp;" v. "&amp;AB39&amp;", ",Y39&amp;" v. "&amp;AA39&amp;", "&amp;Z39&amp;" v. "&amp;AB39&amp;", ")))))),"")</f>
        <v xml:space="preserve">collinari 2-0 v.  0-0, </v>
      </c>
      <c r="J39" s="97">
        <f>D$11</f>
        <v>1</v>
      </c>
      <c r="K39" s="95" t="str">
        <f t="shared" si="9"/>
        <v>PTS</v>
      </c>
      <c r="L39" s="95" t="str">
        <f t="shared" si="10"/>
        <v>6/4 6/3</v>
      </c>
      <c r="M39" s="95" t="str">
        <f t="shared" si="11"/>
        <v>6/4 6/3</v>
      </c>
      <c r="N39" s="95" t="str">
        <f t="shared" si="12"/>
        <v>6/4 6/3</v>
      </c>
      <c r="O39" s="95" t="str">
        <f t="shared" si="13"/>
        <v>64 63</v>
      </c>
      <c r="P39" s="95" t="str">
        <f t="shared" si="14"/>
        <v>6/4 6/3</v>
      </c>
      <c r="Q39" s="95">
        <f>IF(AND(G39=T$11,LEN(G39)&gt;1),1,0)</f>
        <v>0</v>
      </c>
      <c r="R39" s="97">
        <f>Doubles!G$11</f>
        <v>10</v>
      </c>
      <c r="S39" s="95">
        <f>IF(AND(H39=H$11,LEN(H39)&gt;1,Q39=1),1,0)</f>
        <v>0</v>
      </c>
      <c r="T39" s="97">
        <f>T35+T87</f>
        <v>0</v>
      </c>
      <c r="U39" s="95">
        <f>U35+U87</f>
        <v>0</v>
      </c>
      <c r="V39" s="97">
        <f>VLOOKUP(10,R30:S53,2,0)</f>
        <v>0</v>
      </c>
      <c r="W39" s="95" t="str">
        <f t="shared" si="15"/>
        <v>collinari</v>
      </c>
      <c r="X39" s="95">
        <f>IF(F$11=0,IF(AND(G39=G91,NOT(G39=G65),NOT(G39=G117),LEN(W39)&gt;0),2,IF(LEN(W39)=0,0,1)),0)</f>
        <v>1</v>
      </c>
      <c r="Y39" s="95" t="str">
        <f t="shared" si="16"/>
        <v>collinari 2-0</v>
      </c>
      <c r="Z39" s="95" t="str">
        <f t="shared" si="17"/>
        <v xml:space="preserve"> 0-0</v>
      </c>
      <c r="AA39" s="95" t="str">
        <f t="shared" si="18"/>
        <v xml:space="preserve"> 0-0</v>
      </c>
      <c r="AB39" s="95" t="str">
        <f t="shared" si="19"/>
        <v xml:space="preserve"> 0-0</v>
      </c>
      <c r="AC39" s="95" t="str">
        <f>IF(AND(LEN(W39)&gt;0,F$11=0),IF(X39=2,W39&amp;" +2, ",W39&amp;", "),"")</f>
        <v xml:space="preserve">collinari, </v>
      </c>
    </row>
    <row r="40" spans="1:29">
      <c r="A40" s="95">
        <v>11</v>
      </c>
      <c r="B40" s="95" t="str">
        <f>IF(Doubles!B74="",0,Doubles!B74)</f>
        <v>GINER 6/4 6/2</v>
      </c>
      <c r="C40" s="99" t="str">
        <f>IF(OR(LEFT(B40,LEN(B$12))=B$12,LEFT(B40,LEN(C$12))=C$12,LEN(B40)&lt;2),"",IF(B40="no pick","","Wrong pick"))</f>
        <v/>
      </c>
      <c r="D40" s="95">
        <f t="shared" si="6"/>
        <v>1</v>
      </c>
      <c r="E40" s="95">
        <f t="shared" si="7"/>
        <v>0</v>
      </c>
      <c r="G40" s="95" t="str">
        <f>IF(B40=0,"",IF(B40="no pick","No Pick",IF(LEFT(B40,LEN(B$12))=B$12,B$12,C$12)))</f>
        <v>giner</v>
      </c>
      <c r="H40" s="95" t="str">
        <f t="shared" si="8"/>
        <v>2-0</v>
      </c>
      <c r="I40" s="95" t="str">
        <f>IF(AND(J40=$I$2,F$12=0,NOT(E$12="")),IF(OR(AND(Y40=AA40,Z40=AB40),AND(Y40=AB40,Z40=AA40)),"",IF(AND(Y40=Z40,AA40=AB40),Y40&amp;" +2 v. "&amp;AA40&amp;" +2, ",IF(Y40=AA40,Z40&amp;" v. "&amp;AB40&amp;", ",IF(Z40=AB40,Y40&amp;" v. "&amp;AA40&amp;", ",IF(Y40=AB40,Z40&amp;" v. "&amp;AA40&amp;", ",IF(Z40=AA40,Y40&amp;" v. "&amp;AB40&amp;", ",Y40&amp;" v. "&amp;AA40&amp;", "&amp;Z40&amp;" v. "&amp;AB40&amp;", ")))))),"")</f>
        <v xml:space="preserve">giner 2-0 v.  0-0, </v>
      </c>
      <c r="J40" s="97">
        <f>D$12</f>
        <v>1</v>
      </c>
      <c r="K40" s="95" t="str">
        <f t="shared" si="9"/>
        <v>PTS</v>
      </c>
      <c r="L40" s="95" t="str">
        <f t="shared" si="10"/>
        <v>6/4 6/2</v>
      </c>
      <c r="M40" s="95" t="str">
        <f t="shared" si="11"/>
        <v>6/4 6/2</v>
      </c>
      <c r="N40" s="95" t="str">
        <f t="shared" si="12"/>
        <v>6/4 6/2</v>
      </c>
      <c r="O40" s="95" t="str">
        <f t="shared" si="13"/>
        <v>64 62</v>
      </c>
      <c r="P40" s="95" t="str">
        <f t="shared" si="14"/>
        <v>6/4 6/2</v>
      </c>
      <c r="Q40" s="95">
        <f>IF(AND(G40=T$12,LEN(G40)&gt;1),1,0)</f>
        <v>0</v>
      </c>
      <c r="R40" s="97">
        <f>Doubles!G$12</f>
        <v>11</v>
      </c>
      <c r="S40" s="95">
        <f>IF(AND(H40=H$12,LEN(H40)&gt;1,Q40=1),1,0)</f>
        <v>0</v>
      </c>
      <c r="T40" s="97">
        <f>T36+T88</f>
        <v>0</v>
      </c>
      <c r="U40" s="95">
        <f>U36+U88</f>
        <v>0</v>
      </c>
      <c r="V40" s="97">
        <f>VLOOKUP(11,R30:S53,2,0)</f>
        <v>0</v>
      </c>
      <c r="W40" s="95" t="str">
        <f t="shared" si="15"/>
        <v>giner</v>
      </c>
      <c r="X40" s="95">
        <f>IF(F$12=0,IF(AND(G40=G92,NOT(G40=G66),NOT(G40=G118),LEN(W40)&gt;0),2,IF(LEN(W40)=0,0,1)),0)</f>
        <v>1</v>
      </c>
      <c r="Y40" s="95" t="str">
        <f t="shared" si="16"/>
        <v>giner 2-0</v>
      </c>
      <c r="Z40" s="95" t="str">
        <f t="shared" si="17"/>
        <v xml:space="preserve"> 0-0</v>
      </c>
      <c r="AA40" s="95" t="str">
        <f t="shared" si="18"/>
        <v xml:space="preserve"> 0-0</v>
      </c>
      <c r="AB40" s="95" t="str">
        <f t="shared" si="19"/>
        <v xml:space="preserve"> 0-0</v>
      </c>
      <c r="AC40" s="95" t="str">
        <f>IF(AND(LEN(W40)&gt;0,F$12=0),IF(X40=2,W40&amp;" +2, ",W40&amp;", "),"")</f>
        <v xml:space="preserve">giner, </v>
      </c>
    </row>
    <row r="41" spans="1:29">
      <c r="A41" s="95">
        <v>12</v>
      </c>
      <c r="B41" s="95" t="str">
        <f>IF(Doubles!B75="",0,Doubles!B75)</f>
        <v>GALDON 6/4 6/7 6/4</v>
      </c>
      <c r="C41" s="99" t="str">
        <f>IF(OR(LEFT(B41,LEN(B$13))=B$13,LEFT(B41,LEN(C$13))=C$13,LEN(B41)&lt;2),"",IF(B41="no pick","","Wrong pick"))</f>
        <v/>
      </c>
      <c r="D41" s="95">
        <f t="shared" si="6"/>
        <v>1</v>
      </c>
      <c r="E41" s="95">
        <f t="shared" si="7"/>
        <v>0</v>
      </c>
      <c r="G41" s="95" t="str">
        <f>IF(B41=0,"",IF(B41="no pick","No Pick",IF(LEFT(B41,LEN(B$13))=B$13,B$13,C$13)))</f>
        <v>galdon</v>
      </c>
      <c r="H41" s="95" t="str">
        <f t="shared" si="8"/>
        <v>2-1</v>
      </c>
      <c r="I41" s="95" t="str">
        <f>IF(AND(J41=$I$2,F$13=0,NOT(E$13="")),IF(OR(AND(Y41=AA41,Z41=AB41),AND(Y41=AB41,Z41=AA41)),"",IF(AND(Y41=Z41,AA41=AB41),Y41&amp;" +2 v. "&amp;AA41&amp;" +2, ",IF(Y41=AA41,Z41&amp;" v. "&amp;AB41&amp;", ",IF(Z41=AB41,Y41&amp;" v. "&amp;AA41&amp;", ",IF(Y41=AB41,Z41&amp;" v. "&amp;AA41&amp;", ",IF(Z41=AA41,Y41&amp;" v. "&amp;AB41&amp;", ",Y41&amp;" v. "&amp;AA41&amp;", "&amp;Z41&amp;" v. "&amp;AB41&amp;", ")))))),"")</f>
        <v xml:space="preserve">galdon 2-1 v.  0-0, </v>
      </c>
      <c r="J41" s="97">
        <f>D$13</f>
        <v>1</v>
      </c>
      <c r="K41" s="95" t="str">
        <f t="shared" si="9"/>
        <v>PTS</v>
      </c>
      <c r="L41" s="95" t="str">
        <f t="shared" si="10"/>
        <v>6/4 6/7 6/4</v>
      </c>
      <c r="M41" s="95" t="str">
        <f t="shared" si="11"/>
        <v>6/4 6/7 6/4</v>
      </c>
      <c r="N41" s="95" t="str">
        <f t="shared" si="12"/>
        <v>6/4 6/7 6/4</v>
      </c>
      <c r="O41" s="95" t="str">
        <f t="shared" si="13"/>
        <v>64 67 64</v>
      </c>
      <c r="P41" s="95" t="str">
        <f t="shared" si="14"/>
        <v>6/4 6/7 6/4</v>
      </c>
      <c r="Q41" s="95">
        <f>IF(AND(G41=T$13,LEN(G41)&gt;1),1,0)</f>
        <v>0</v>
      </c>
      <c r="R41" s="97">
        <f>Doubles!G$13</f>
        <v>12</v>
      </c>
      <c r="S41" s="95">
        <f>IF(AND(H41=H$13,LEN(H41)&gt;1,Q41=1),1,0)</f>
        <v>0</v>
      </c>
      <c r="V41" s="97">
        <f>VLOOKUP(12,R30:S53,2,0)</f>
        <v>0</v>
      </c>
      <c r="W41" s="95" t="str">
        <f t="shared" si="15"/>
        <v>galdon</v>
      </c>
      <c r="X41" s="95">
        <f>IF(F$13=0,IF(AND(G41=G93,NOT(G41=G67),NOT(G41=G119),LEN(W41)&gt;0),2,IF(LEN(W41)=0,0,1)),0)</f>
        <v>1</v>
      </c>
      <c r="Y41" s="95" t="str">
        <f t="shared" si="16"/>
        <v>galdon 2-1</v>
      </c>
      <c r="Z41" s="95" t="str">
        <f t="shared" si="17"/>
        <v xml:space="preserve"> 0-0</v>
      </c>
      <c r="AA41" s="95" t="str">
        <f t="shared" si="18"/>
        <v xml:space="preserve"> 0-0</v>
      </c>
      <c r="AB41" s="95" t="str">
        <f t="shared" si="19"/>
        <v xml:space="preserve"> 0-0</v>
      </c>
      <c r="AC41" s="95" t="str">
        <f>IF(AND(LEN(W41)&gt;0,F$13=0),IF(X41=2,W41&amp;" +2, ",W41&amp;", "),"")</f>
        <v xml:space="preserve">galdon, </v>
      </c>
    </row>
    <row r="42" spans="1:29">
      <c r="A42" s="95">
        <v>13</v>
      </c>
      <c r="B42" s="95" t="str">
        <f>IF(Doubles!B76="",0,Doubles!B76)</f>
        <v>LOBKOV 6/4 7/6</v>
      </c>
      <c r="C42" s="99" t="str">
        <f>IF(OR(LEFT(B42,LEN(B$14))=B$14,LEFT(B42,LEN(C$14))=C$14,LEN(B42)&lt;2),"",IF(B42="no pick","","Wrong pick"))</f>
        <v/>
      </c>
      <c r="D42" s="95">
        <f t="shared" si="6"/>
        <v>1</v>
      </c>
      <c r="E42" s="95">
        <f t="shared" si="7"/>
        <v>0</v>
      </c>
      <c r="G42" s="95" t="str">
        <f>IF(B42=0,"",IF(B42="no pick","No Pick",IF(LEFT(B42,LEN(B$14))=B$14,B$14,C$14)))</f>
        <v>lobkov</v>
      </c>
      <c r="H42" s="95" t="str">
        <f t="shared" si="8"/>
        <v>2-0</v>
      </c>
      <c r="I42" s="95" t="str">
        <f>IF(AND(J42=$I$2,F$14=0,NOT(E$14="")),IF(OR(AND(Y42=AA42,Z42=AB42),AND(Y42=AB42,Z42=AA42)),"",IF(AND(Y42=Z42,AA42=AB42),Y42&amp;" +2 v. "&amp;AA42&amp;" +2, ",IF(Y42=AA42,Z42&amp;" v. "&amp;AB42&amp;", ",IF(Z42=AB42,Y42&amp;" v. "&amp;AA42&amp;", ",IF(Y42=AB42,Z42&amp;" v. "&amp;AA42&amp;", ",IF(Z42=AA42,Y42&amp;" v. "&amp;AB42&amp;", ",Y42&amp;" v. "&amp;AA42&amp;", "&amp;Z42&amp;" v. "&amp;AB42&amp;", ")))))),"")</f>
        <v xml:space="preserve">lobkov 2-0 v.  0-0, </v>
      </c>
      <c r="J42" s="97">
        <f>D$14</f>
        <v>1</v>
      </c>
      <c r="K42" s="95" t="str">
        <f t="shared" si="9"/>
        <v>PTS</v>
      </c>
      <c r="L42" s="95" t="str">
        <f t="shared" si="10"/>
        <v>6/4 7/6</v>
      </c>
      <c r="M42" s="95" t="str">
        <f t="shared" si="11"/>
        <v>6/4 7/6</v>
      </c>
      <c r="N42" s="95" t="str">
        <f t="shared" si="12"/>
        <v>6/4 7/6</v>
      </c>
      <c r="O42" s="95" t="str">
        <f t="shared" si="13"/>
        <v>64 76</v>
      </c>
      <c r="P42" s="95" t="str">
        <f t="shared" si="14"/>
        <v>6/4 7/6</v>
      </c>
      <c r="Q42" s="95">
        <f>IF(AND(G42=T$14,LEN(G42)&gt;1),1,0)</f>
        <v>0</v>
      </c>
      <c r="R42" s="97">
        <f>Doubles!G$14</f>
        <v>13</v>
      </c>
      <c r="S42" s="95">
        <f>IF(AND(H42=H$14,LEN(H42)&gt;1,Q42=1),1,0)</f>
        <v>0</v>
      </c>
      <c r="V42" s="97">
        <f>VLOOKUP(13,R30:S53,2,0)</f>
        <v>0</v>
      </c>
      <c r="W42" s="95" t="str">
        <f t="shared" si="15"/>
        <v>lobkov</v>
      </c>
      <c r="X42" s="95">
        <f>IF(F$14=0,IF(AND(G42=G94,NOT(G42=G68),NOT(G42=G120),LEN(W42)&gt;0),2,IF(LEN(W42)=0,0,1)),0)</f>
        <v>1</v>
      </c>
      <c r="Y42" s="95" t="str">
        <f t="shared" si="16"/>
        <v>lobkov 2-0</v>
      </c>
      <c r="Z42" s="95" t="str">
        <f t="shared" si="17"/>
        <v xml:space="preserve"> 0-0</v>
      </c>
      <c r="AA42" s="95" t="str">
        <f t="shared" si="18"/>
        <v xml:space="preserve"> 0-0</v>
      </c>
      <c r="AB42" s="95" t="str">
        <f t="shared" si="19"/>
        <v xml:space="preserve"> 0-0</v>
      </c>
      <c r="AC42" s="95" t="str">
        <f>IF(AND(LEN(W42)&gt;0,F$14=0),IF(X42=2,W42&amp;" +2, ",W42&amp;", "),"")</f>
        <v xml:space="preserve">lobkov, </v>
      </c>
    </row>
    <row r="43" spans="1:29">
      <c r="A43" s="95">
        <v>14</v>
      </c>
      <c r="B43" s="95" t="str">
        <f>IF(Doubles!B77="",0,Doubles!B77)</f>
        <v>SANTOS 6/4 6/0</v>
      </c>
      <c r="C43" s="99" t="str">
        <f>IF(OR(LEFT(B43,LEN(B$15))=B$15,LEFT(B43,LEN(C$15))=C$15,LEN(B43)&lt;2),"",IF(B43="no pick","","Wrong pick"))</f>
        <v/>
      </c>
      <c r="D43" s="95">
        <f t="shared" si="6"/>
        <v>1</v>
      </c>
      <c r="E43" s="95">
        <f t="shared" si="7"/>
        <v>0</v>
      </c>
      <c r="G43" s="95" t="str">
        <f>IF(B43=0,"",IF(B43="no pick","No Pick",IF(LEFT(B43,LEN(B$15))=B$15,B$15,C$15)))</f>
        <v>santos</v>
      </c>
      <c r="H43" s="95" t="str">
        <f t="shared" si="8"/>
        <v>2-0</v>
      </c>
      <c r="I43" s="95" t="str">
        <f>IF(AND(J43=$I$2,F$15=0,NOT(E$15="")),IF(OR(AND(Y43=AA43,Z43=AB43),AND(Y43=AB43,Z43=AA43)),"",IF(AND(Y43=Z43,AA43=AB43),Y43&amp;" +2 v. "&amp;AA43&amp;" +2, ",IF(Y43=AA43,Z43&amp;" v. "&amp;AB43&amp;", ",IF(Z43=AB43,Y43&amp;" v. "&amp;AA43&amp;", ",IF(Y43=AB43,Z43&amp;" v. "&amp;AA43&amp;", ",IF(Z43=AA43,Y43&amp;" v. "&amp;AB43&amp;", ",Y43&amp;" v. "&amp;AA43&amp;", "&amp;Z43&amp;" v. "&amp;AB43&amp;", ")))))),"")</f>
        <v xml:space="preserve">santos 2-0 v.  0-0, </v>
      </c>
      <c r="J43" s="97">
        <f>D$15</f>
        <v>1</v>
      </c>
      <c r="K43" s="95" t="str">
        <f t="shared" si="9"/>
        <v>PTS</v>
      </c>
      <c r="L43" s="95" t="str">
        <f t="shared" si="10"/>
        <v>6/4 6/0</v>
      </c>
      <c r="M43" s="95" t="str">
        <f t="shared" si="11"/>
        <v>6/4 6/0</v>
      </c>
      <c r="N43" s="95" t="str">
        <f t="shared" si="12"/>
        <v>6/4 6/0</v>
      </c>
      <c r="O43" s="95" t="str">
        <f t="shared" si="13"/>
        <v>64 60</v>
      </c>
      <c r="P43" s="95" t="str">
        <f t="shared" si="14"/>
        <v>6/4 6/0</v>
      </c>
      <c r="Q43" s="95">
        <f>IF(AND(G43=T$15,LEN(G43)&gt;1),1,0)</f>
        <v>0</v>
      </c>
      <c r="R43" s="97">
        <f>Doubles!G$15</f>
        <v>14</v>
      </c>
      <c r="S43" s="95">
        <f>IF(AND(H43=H$15,LEN(H43)&gt;1,Q43=1),1,0)</f>
        <v>0</v>
      </c>
      <c r="T43" s="95" t="s">
        <v>127</v>
      </c>
      <c r="U43" s="95" t="str">
        <f>IF(Doubles!$D$22=$F$26,IF(T39&gt;T40,B29&amp;"/"&amp;B81,IF(T39&lt;T40,B55&amp;"/"&amp;B107,IF(U39&gt;U40,B29&amp;"/"&amp;B81,IF(U39&lt;U40,B55&amp;"/"&amp;B107,"Tied, see shootout")))),"No decision yet")</f>
        <v>No decision yet</v>
      </c>
      <c r="V43" s="97">
        <f>VLOOKUP(14,R30:S53,2,0)</f>
        <v>0</v>
      </c>
      <c r="W43" s="95" t="str">
        <f t="shared" si="15"/>
        <v>santos</v>
      </c>
      <c r="X43" s="95">
        <f>IF(F$15=0,IF(AND(G43=G95,NOT(G43=G69),NOT(G43=G121),LEN(W43)&gt;0),2,IF(LEN(W43)=0,0,1)),0)</f>
        <v>1</v>
      </c>
      <c r="Y43" s="95" t="str">
        <f t="shared" si="16"/>
        <v>santos 2-0</v>
      </c>
      <c r="Z43" s="95" t="str">
        <f t="shared" si="17"/>
        <v xml:space="preserve"> 0-0</v>
      </c>
      <c r="AA43" s="95" t="str">
        <f t="shared" si="18"/>
        <v xml:space="preserve"> 0-0</v>
      </c>
      <c r="AB43" s="95" t="str">
        <f t="shared" si="19"/>
        <v xml:space="preserve"> 0-0</v>
      </c>
      <c r="AC43" s="95" t="str">
        <f>IF(AND(LEN(W43)&gt;0,F$15=0),IF(X43=2,W43&amp;" +2, ",W43&amp;", "),"")</f>
        <v xml:space="preserve">santos, </v>
      </c>
    </row>
    <row r="44" spans="1:29">
      <c r="A44" s="95">
        <v>15</v>
      </c>
      <c r="B44" s="95" t="str">
        <f>IF(Doubles!B78="",0,Doubles!B78)</f>
        <v>SANTOS 6/4 7/6</v>
      </c>
      <c r="C44" s="99" t="str">
        <f>IF(OR(LEFT(B44,LEN(B$16))=B$16,LEFT(B44,LEN(C$16))=C$16,LEN(B44)&lt;2),"",IF(B44="no pick","","Wrong pick"))</f>
        <v/>
      </c>
      <c r="D44" s="95">
        <f t="shared" si="6"/>
        <v>1</v>
      </c>
      <c r="E44" s="95">
        <f t="shared" si="7"/>
        <v>0</v>
      </c>
      <c r="G44" s="95" t="str">
        <f>IF(B44=0,"",IF(B44="no pick","No Pick",IF(LEFT(B44,LEN(B$16))=B$16,B$16,C$16)))</f>
        <v>santos</v>
      </c>
      <c r="H44" s="95" t="str">
        <f t="shared" si="8"/>
        <v>2-0</v>
      </c>
      <c r="I44" s="95" t="str">
        <f>IF(AND(J44=$I$2,F$16=0,NOT(E$16="")),IF(OR(AND(Y44=AA44,Z44=AB44),AND(Y44=AB44,Z44=AA44)),"",IF(AND(Y44=Z44,AA44=AB44),Y44&amp;" +2 v. "&amp;AA44&amp;" +2, ",IF(Y44=AA44,Z44&amp;" v. "&amp;AB44&amp;", ",IF(Z44=AB44,Y44&amp;" v. "&amp;AA44&amp;", ",IF(Y44=AB44,Z44&amp;" v. "&amp;AA44&amp;", ",IF(Z44=AA44,Y44&amp;" v. "&amp;AB44&amp;", ",Y44&amp;" v. "&amp;AA44&amp;", "&amp;Z44&amp;" v. "&amp;AB44&amp;", ")))))),"")</f>
        <v xml:space="preserve">santos 2-0 v.  0-0, </v>
      </c>
      <c r="J44" s="97">
        <f>D$16</f>
        <v>1</v>
      </c>
      <c r="K44" s="95" t="str">
        <f t="shared" si="9"/>
        <v>PTS</v>
      </c>
      <c r="L44" s="95" t="str">
        <f t="shared" si="10"/>
        <v>6/4 7/6</v>
      </c>
      <c r="M44" s="95" t="str">
        <f t="shared" si="11"/>
        <v>6/4 7/6</v>
      </c>
      <c r="N44" s="95" t="str">
        <f t="shared" si="12"/>
        <v>6/4 7/6</v>
      </c>
      <c r="O44" s="95" t="str">
        <f t="shared" si="13"/>
        <v>64 76</v>
      </c>
      <c r="P44" s="95" t="str">
        <f t="shared" si="14"/>
        <v>6/4 7/6</v>
      </c>
      <c r="Q44" s="95">
        <f>IF(AND(G44=T$16,LEN(G44)&gt;1),1,0)</f>
        <v>0</v>
      </c>
      <c r="R44" s="97">
        <f>Doubles!G$16</f>
        <v>15</v>
      </c>
      <c r="S44" s="95">
        <f>IF(AND(H44=H$16,LEN(H44)&gt;1,Q44=1),1,0)</f>
        <v>0</v>
      </c>
      <c r="T44" s="95" t="s">
        <v>128</v>
      </c>
      <c r="U44" s="95" t="str">
        <f>IF(T39&lt;10,"0","")&amp;T39&amp;":"&amp;IF(T40&lt;10,"0","")&amp;T40&amp;" | "&amp;IF(AND(A29&gt;0,A29&lt;33,B29&amp;"/"&amp;B81=U43),"[b][color=Blue]"&amp;T29&amp;"/"&amp;T81&amp;" ("&amp;D29&amp;"/"&amp;D81&amp;")[/color][/b]",IF(B29&amp;"/"&amp;B81=U43,"[color=Blue]"&amp;T29&amp;"/"&amp;T81&amp;" ("&amp;D29&amp;"/"&amp;D81&amp;")[/color]",IF(AND(A29&gt;0,A29&lt;33),"[b]"&amp;T29&amp;"/"&amp;T81&amp;" ("&amp;D29&amp;"/"&amp;D81&amp;")[/b]",T29&amp;"/"&amp;T81&amp;IF(LEN(D29)&gt;1," ("&amp;D29&amp;"/"&amp;D81&amp;")",""))))&amp;" vs. "&amp;IF(AND(A55&gt;0,A55&lt;33,B55&amp;"/"&amp;B107=U43),"[b][color=Blue]"&amp;T55&amp;"/"&amp;T107&amp;" ("&amp;D55&amp;"/"&amp;D107&amp;")[/color][/b]",IF(B55&amp;"/"&amp;B107=U43,"[color=Blue]"&amp;T55&amp;"/"&amp;T107&amp;" ("&amp;D55&amp;"/"&amp;D107&amp;")[/color]",IF(AND(A55&gt;0,A55&lt;33),"[b]"&amp;T55&amp;"/"&amp;T107&amp;" ("&amp;D55&amp;"/"&amp;D107&amp;")[/b]",T55&amp;"/"&amp;T107&amp;IF(LEN(D55)&gt;1," ("&amp;D55&amp;"/"&amp;D107&amp;")",""))))&amp;IF(OR(Doubles!$D$25="yes",T39=T40)," #SRs: "&amp;U39&amp;"-"&amp;U40,"")</f>
        <v>00:00 | [b](1) geangr/A_Skywalker (BRA/BUL)[/b] vs. BYE/BYE #SRs: 0-0</v>
      </c>
      <c r="V44" s="97">
        <f>VLOOKUP(15,R30:S53,2,0)</f>
        <v>0</v>
      </c>
      <c r="W44" s="95" t="str">
        <f t="shared" si="15"/>
        <v>santos</v>
      </c>
      <c r="X44" s="95">
        <f>IF(F$16=0,IF(AND(G44=G96,NOT(G44=G70),NOT(G44=G122),LEN(W44)&gt;0),2,IF(LEN(W44)=0,0,1)),0)</f>
        <v>1</v>
      </c>
      <c r="Y44" s="95" t="str">
        <f t="shared" si="16"/>
        <v>santos 2-0</v>
      </c>
      <c r="Z44" s="95" t="str">
        <f t="shared" si="17"/>
        <v xml:space="preserve"> 0-0</v>
      </c>
      <c r="AA44" s="95" t="str">
        <f t="shared" si="18"/>
        <v xml:space="preserve"> 0-0</v>
      </c>
      <c r="AB44" s="95" t="str">
        <f t="shared" si="19"/>
        <v xml:space="preserve"> 0-0</v>
      </c>
      <c r="AC44" s="95" t="str">
        <f>IF(AND(LEN(W44)&gt;0,F$16=0),IF(X44=2,W44&amp;" +2, ",W44&amp;", "),"")</f>
        <v xml:space="preserve">santos, </v>
      </c>
    </row>
    <row r="45" spans="1:29">
      <c r="A45" s="95">
        <v>16</v>
      </c>
      <c r="B45" s="95" t="str">
        <f>IF(Doubles!B79="",0,Doubles!B79)</f>
        <v>LOJDA 6/4 6/1</v>
      </c>
      <c r="C45" s="99" t="str">
        <f>IF(OR(LEFT(B45,LEN(B$17))=B$17,LEFT(B45,LEN(C$17))=C$17,LEN(B45)&lt;2),"",IF(B45="no pick","","Wrong pick"))</f>
        <v/>
      </c>
      <c r="D45" s="95">
        <f t="shared" si="6"/>
        <v>1</v>
      </c>
      <c r="E45" s="95">
        <f t="shared" si="7"/>
        <v>0</v>
      </c>
      <c r="G45" s="95" t="str">
        <f>IF(B45=0,"",IF(B45="no pick","No Pick",IF(LEFT(B45,LEN(B$17))=B$17,B$17,C$17)))</f>
        <v>lojda</v>
      </c>
      <c r="H45" s="95" t="str">
        <f t="shared" si="8"/>
        <v>2-0</v>
      </c>
      <c r="I45" s="95" t="str">
        <f>IF(AND(J45=$I$2,F$17=0,NOT(E$17="")),IF(OR(AND(Y45=AA45,Z45=AB45),AND(Y45=AB45,Z45=AA45)),"",IF(AND(Y45=Z45,AA45=AB45),Y45&amp;" +2 v. "&amp;AA45&amp;" +2, ",IF(Y45=AA45,Z45&amp;" v. "&amp;AB45&amp;", ",IF(Z45=AB45,Y45&amp;" v. "&amp;AA45&amp;", ",IF(Y45=AB45,Z45&amp;" v. "&amp;AA45&amp;", ",IF(Z45=AA45,Y45&amp;" v. "&amp;AB45&amp;", ",Y45&amp;" v. "&amp;AA45&amp;", "&amp;Z45&amp;" v. "&amp;AB45&amp;", ")))))),"")</f>
        <v xml:space="preserve">lojda 2-0 v.  0-0, </v>
      </c>
      <c r="J45" s="97">
        <f>D$17</f>
        <v>1</v>
      </c>
      <c r="K45" s="95" t="str">
        <f t="shared" si="9"/>
        <v>PTS</v>
      </c>
      <c r="L45" s="95" t="str">
        <f t="shared" si="10"/>
        <v>6/4 6/1</v>
      </c>
      <c r="M45" s="95" t="str">
        <f t="shared" si="11"/>
        <v>6/4 6/1</v>
      </c>
      <c r="N45" s="95" t="str">
        <f t="shared" si="12"/>
        <v>6/4 6/1</v>
      </c>
      <c r="O45" s="95" t="str">
        <f t="shared" si="13"/>
        <v>64 61</v>
      </c>
      <c r="P45" s="95" t="str">
        <f t="shared" si="14"/>
        <v>6/4 6/1</v>
      </c>
      <c r="Q45" s="95">
        <f>IF(AND(G45=T$17,LEN(G45)&gt;1),1,0)</f>
        <v>0</v>
      </c>
      <c r="R45" s="97">
        <f>Doubles!G$17</f>
        <v>16</v>
      </c>
      <c r="S45" s="95">
        <f>IF(AND(H45=H$17,LEN(H45)&gt;1,Q45=1),1,0)</f>
        <v>0</v>
      </c>
      <c r="V45" s="97">
        <f>VLOOKUP(16,R30:S53,2,0)</f>
        <v>0</v>
      </c>
      <c r="W45" s="95" t="str">
        <f t="shared" si="15"/>
        <v>lojda</v>
      </c>
      <c r="X45" s="95">
        <f>IF(F$17=0,IF(AND(G45=G97,NOT(G45=G71),NOT(G45=G123),LEN(W45)&gt;0),2,IF(LEN(W45)=0,0,1)),0)</f>
        <v>1</v>
      </c>
      <c r="Y45" s="95" t="str">
        <f t="shared" si="16"/>
        <v>lojda 2-0</v>
      </c>
      <c r="Z45" s="95" t="str">
        <f t="shared" si="17"/>
        <v xml:space="preserve"> 0-0</v>
      </c>
      <c r="AA45" s="95" t="str">
        <f t="shared" si="18"/>
        <v xml:space="preserve"> 0-0</v>
      </c>
      <c r="AB45" s="95" t="str">
        <f t="shared" si="19"/>
        <v xml:space="preserve"> 0-0</v>
      </c>
      <c r="AC45" s="95" t="str">
        <f>IF(AND(LEN(W45)&gt;0,F$17=0),IF(X45=2,W45&amp;" +2, ",W45&amp;", "),"")</f>
        <v xml:space="preserve">lojda, </v>
      </c>
    </row>
    <row r="46" spans="1:29">
      <c r="A46" s="95">
        <v>17</v>
      </c>
      <c r="B46" s="95">
        <f>IF(Doubles!B80="",0,Doubles!B80)</f>
        <v>0</v>
      </c>
      <c r="C46" s="99" t="str">
        <f>IF(OR(LEFT(B46,LEN(B$18))=B$18,LEFT(B46,LEN(C$18))=C$18,LEN(B46)&lt;2),"",IF(B46="no pick","","Wrong pick"))</f>
        <v/>
      </c>
      <c r="D46" s="95">
        <f t="shared" si="6"/>
        <v>0</v>
      </c>
      <c r="E46" s="95">
        <f t="shared" si="7"/>
        <v>0</v>
      </c>
      <c r="G46" s="95" t="str">
        <f>IF(B46=0,"",IF(B46="no pick","No Pick",IF(LEFT(B46,LEN(B$18))=B$18,B$18,C$18)))</f>
        <v/>
      </c>
      <c r="H46" s="95" t="str">
        <f t="shared" si="8"/>
        <v>0-0</v>
      </c>
      <c r="I46" s="95" t="str">
        <f>IF(AND(J46=$I$2,F$18=0,NOT(E$18="")),IF(OR(AND(Y46=AA46,Z46=AB46),AND(Y46=AB46,Z46=AA46)),"",IF(AND(Y46=Z46,AA46=AB46),Y46&amp;" +2 v. "&amp;AA46&amp;" +2, ",IF(Y46=AA46,Z46&amp;" v. "&amp;AB46&amp;", ",IF(Z46=AB46,Y46&amp;" v. "&amp;AA46&amp;", ",IF(Y46=AB46,Z46&amp;" v. "&amp;AA46&amp;", ",IF(Z46=AA46,Y46&amp;" v. "&amp;AB46&amp;", ",Y46&amp;" v. "&amp;AA46&amp;", "&amp;Z46&amp;" v. "&amp;AB46&amp;", ")))))),"")</f>
        <v/>
      </c>
      <c r="J46" s="95">
        <f>D$18</f>
        <v>0</v>
      </c>
      <c r="K46" s="95" t="str">
        <f t="shared" si="9"/>
        <v>SR</v>
      </c>
      <c r="L46" s="95" t="str">
        <f t="shared" si="10"/>
        <v>0</v>
      </c>
      <c r="M46" s="95" t="str">
        <f t="shared" si="11"/>
        <v>0</v>
      </c>
      <c r="N46" s="95" t="str">
        <f t="shared" si="12"/>
        <v>0</v>
      </c>
      <c r="O46" s="95" t="str">
        <f t="shared" si="13"/>
        <v>0</v>
      </c>
      <c r="P46" s="95" t="str">
        <f t="shared" si="14"/>
        <v>0</v>
      </c>
      <c r="Q46" s="95">
        <f>IF(AND(G46=T$18,LEN(G46)&gt;1),1,0)</f>
        <v>0</v>
      </c>
      <c r="R46" s="97">
        <f>Doubles!G$18</f>
        <v>17</v>
      </c>
      <c r="S46" s="95">
        <f>IF(AND(H46=H$18,LEN(H46)&gt;1,Q46=1),1,0)</f>
        <v>0</v>
      </c>
      <c r="T46" s="95" t="str">
        <f>IF(Doubles!$D$22=$F$26,IF(T39&gt;T40,B29,IF(T39&lt;T40,B55,IF(U39&gt;U40,B29,IF(U39&lt;U40,B55,"")))),"")</f>
        <v/>
      </c>
      <c r="U46" s="95" t="str">
        <f>IF(Doubles!$D$22=$F$26,IF(T39&gt;T40,B81,IF(T39&lt;T40,B107,IF(U39&gt;U40,B81,IF(U39&lt;U40,B107,"")))),"")</f>
        <v/>
      </c>
      <c r="V46" s="95">
        <f>VLOOKUP(17,R30:S53,2,0)</f>
        <v>0</v>
      </c>
      <c r="W46" s="95" t="str">
        <f t="shared" si="15"/>
        <v/>
      </c>
      <c r="X46" s="95">
        <f>IF(F$18=0,IF(AND(G46=G98,NOT(G46=G72),NOT(G46=G124),LEN(W46)&gt;0),2,IF(LEN(W46)=0,0,1)),0)</f>
        <v>0</v>
      </c>
      <c r="Y46" s="95" t="str">
        <f t="shared" si="16"/>
        <v xml:space="preserve"> 0-0</v>
      </c>
      <c r="Z46" s="95" t="str">
        <f t="shared" si="17"/>
        <v xml:space="preserve"> 0-0</v>
      </c>
      <c r="AA46" s="95" t="str">
        <f t="shared" si="18"/>
        <v xml:space="preserve"> 0-0</v>
      </c>
      <c r="AB46" s="95" t="str">
        <f t="shared" si="19"/>
        <v xml:space="preserve"> 0-0</v>
      </c>
      <c r="AC46" s="95" t="str">
        <f>IF(AND(LEN(W46)&gt;0,F$18=0),IF(X46=2,W46&amp;" +2, ",W46&amp;", "),"")</f>
        <v/>
      </c>
    </row>
    <row r="47" spans="1:29">
      <c r="A47" s="95">
        <v>18</v>
      </c>
      <c r="B47" s="95">
        <f>IF(Doubles!B81="",0,Doubles!B81)</f>
        <v>0</v>
      </c>
      <c r="C47" s="99" t="str">
        <f>IF(OR(LEFT(B47,LEN(B$19))=B$19,LEFT(B47,LEN(C$19))=C$19,LEN(B47)&lt;2),"",IF(B47="no pick","","Wrong pick"))</f>
        <v/>
      </c>
      <c r="D47" s="95">
        <f t="shared" si="6"/>
        <v>0</v>
      </c>
      <c r="E47" s="95">
        <f t="shared" si="7"/>
        <v>0</v>
      </c>
      <c r="G47" s="95" t="str">
        <f>IF(B47=0,"",IF(B47="no pick","No Pick",IF(LEFT(B47,LEN(B$19))=B$19,B$19,C$19)))</f>
        <v/>
      </c>
      <c r="H47" s="95" t="str">
        <f t="shared" si="8"/>
        <v>0-0</v>
      </c>
      <c r="I47" s="95" t="str">
        <f>IF(AND(J47=$I$2,F$19=0,NOT(E$19="")),IF(OR(AND(Y47=AA47,Z47=AB47),AND(Y47=AB47,Z47=AA47)),"",IF(AND(Y47=Z47,AA47=AB47),Y47&amp;" +2 v. "&amp;AA47&amp;" +2, ",IF(Y47=AA47,Z47&amp;" v. "&amp;AB47&amp;", ",IF(Z47=AB47,Y47&amp;" v. "&amp;AA47&amp;", ",IF(Y47=AB47,Z47&amp;" v. "&amp;AA47&amp;", ",IF(Z47=AA47,Y47&amp;" v. "&amp;AB47&amp;", ",Y47&amp;" v. "&amp;AA47&amp;", "&amp;Z47&amp;" v. "&amp;AB47&amp;", ")))))),"")</f>
        <v/>
      </c>
      <c r="J47" s="95">
        <f>D$19</f>
        <v>0</v>
      </c>
      <c r="K47" s="95" t="str">
        <f t="shared" si="9"/>
        <v>SR</v>
      </c>
      <c r="L47" s="95" t="str">
        <f t="shared" si="10"/>
        <v>0</v>
      </c>
      <c r="M47" s="95" t="str">
        <f t="shared" si="11"/>
        <v>0</v>
      </c>
      <c r="N47" s="95" t="str">
        <f t="shared" si="12"/>
        <v>0</v>
      </c>
      <c r="O47" s="95" t="str">
        <f t="shared" si="13"/>
        <v>0</v>
      </c>
      <c r="P47" s="95" t="str">
        <f t="shared" si="14"/>
        <v>0</v>
      </c>
      <c r="Q47" s="95">
        <f>IF(AND(G47=T$19,LEN(G47)&gt;1),1,0)</f>
        <v>0</v>
      </c>
      <c r="R47" s="97">
        <f>Doubles!G$19</f>
        <v>18</v>
      </c>
      <c r="S47" s="95">
        <f>IF(AND(H47=H$19,LEN(H47)&gt;1,Q47=1),1,0)</f>
        <v>0</v>
      </c>
      <c r="V47" s="97">
        <f>VLOOKUP(18,R30:S53,2,0)</f>
        <v>0</v>
      </c>
      <c r="W47" s="95" t="str">
        <f t="shared" si="15"/>
        <v/>
      </c>
      <c r="X47" s="95">
        <f>IF(F$19=0,IF(AND(G47=G99,NOT(G47=G73),NOT(G47=G125),LEN(W47)&gt;0),2,IF(LEN(W47)=0,0,1)),0)</f>
        <v>0</v>
      </c>
      <c r="Y47" s="95" t="str">
        <f t="shared" si="16"/>
        <v xml:space="preserve"> 0-0</v>
      </c>
      <c r="Z47" s="95" t="str">
        <f t="shared" si="17"/>
        <v xml:space="preserve"> 0-0</v>
      </c>
      <c r="AA47" s="95" t="str">
        <f t="shared" si="18"/>
        <v xml:space="preserve"> 0-0</v>
      </c>
      <c r="AB47" s="95" t="str">
        <f t="shared" si="19"/>
        <v xml:space="preserve"> 0-0</v>
      </c>
      <c r="AC47" s="95" t="str">
        <f>IF(AND(LEN(W47)&gt;0,F$19=0),IF(X47=2,W47&amp;" +2, ",W47&amp;", "),"")</f>
        <v/>
      </c>
    </row>
    <row r="48" spans="1:29">
      <c r="A48" s="95">
        <v>19</v>
      </c>
      <c r="B48" s="95">
        <f>IF(Doubles!B82="",0,Doubles!B82)</f>
        <v>0</v>
      </c>
      <c r="C48" s="99" t="str">
        <f>IF(OR(LEFT(B48,LEN(B$20))=B$20,LEFT(B48,LEN(C$20))=C$20,LEN(B48)&lt;2),"",IF(B48="no pick","","Wrong pick"))</f>
        <v/>
      </c>
      <c r="D48" s="95">
        <f t="shared" si="6"/>
        <v>0</v>
      </c>
      <c r="E48" s="95">
        <f t="shared" si="7"/>
        <v>0</v>
      </c>
      <c r="G48" s="95" t="str">
        <f>IF(B48=0,"",IF(B48="no pick","No Pick",IF(LEFT(B48,LEN(B$20))=B$20,B$20,C$20)))</f>
        <v/>
      </c>
      <c r="H48" s="95" t="str">
        <f t="shared" si="8"/>
        <v>0-0</v>
      </c>
      <c r="I48" s="95" t="str">
        <f>IF(AND(J48=$I$2,F$20=0,NOT(E$20="")),IF(OR(AND(Y48=AA48,Z48=AB48),AND(Y48=AB48,Z48=AA48)),"",IF(AND(Y48=Z48,AA48=AB48),Y48&amp;" +2 v. "&amp;AA48&amp;" +2, ",IF(Y48=AA48,Z48&amp;" v. "&amp;AB48&amp;", ",IF(Z48=AB48,Y48&amp;" v. "&amp;AA48&amp;", ",IF(Y48=AB48,Z48&amp;" v. "&amp;AA48&amp;", ",IF(Z48=AA48,Y48&amp;" v. "&amp;AB48&amp;", ",Y48&amp;" v. "&amp;AA48&amp;", "&amp;Z48&amp;" v. "&amp;AB48&amp;", ")))))),"")</f>
        <v/>
      </c>
      <c r="J48" s="95">
        <f>D$20</f>
        <v>0</v>
      </c>
      <c r="K48" s="95" t="str">
        <f t="shared" si="9"/>
        <v>SR</v>
      </c>
      <c r="L48" s="95" t="str">
        <f t="shared" si="10"/>
        <v>0</v>
      </c>
      <c r="M48" s="95" t="str">
        <f t="shared" si="11"/>
        <v>0</v>
      </c>
      <c r="N48" s="95" t="str">
        <f t="shared" si="12"/>
        <v>0</v>
      </c>
      <c r="O48" s="95" t="str">
        <f t="shared" si="13"/>
        <v>0</v>
      </c>
      <c r="P48" s="95" t="str">
        <f t="shared" si="14"/>
        <v>0</v>
      </c>
      <c r="Q48" s="95">
        <f>IF(AND(G48=T$20,LEN(G48)&gt;1),1,0)</f>
        <v>0</v>
      </c>
      <c r="R48" s="97">
        <f>Doubles!G$20</f>
        <v>19</v>
      </c>
      <c r="S48" s="95">
        <f>IF(AND(H48=H$20,LEN(H48)&gt;1,Q48=1),1,0)</f>
        <v>0</v>
      </c>
      <c r="V48" s="97">
        <f>VLOOKUP(19,R30:S53,2,0)</f>
        <v>0</v>
      </c>
      <c r="W48" s="95" t="str">
        <f t="shared" si="15"/>
        <v/>
      </c>
      <c r="X48" s="95">
        <f>IF(F$20=0,IF(AND(G48=G100,NOT(G48=G74),NOT(G48=G126),LEN(W48)&gt;0),2,IF(LEN(W48)=0,0,1)),0)</f>
        <v>0</v>
      </c>
      <c r="Y48" s="95" t="str">
        <f t="shared" si="16"/>
        <v xml:space="preserve"> 0-0</v>
      </c>
      <c r="Z48" s="95" t="str">
        <f t="shared" si="17"/>
        <v xml:space="preserve"> 0-0</v>
      </c>
      <c r="AA48" s="95" t="str">
        <f t="shared" si="18"/>
        <v xml:space="preserve"> 0-0</v>
      </c>
      <c r="AB48" s="95" t="str">
        <f t="shared" si="19"/>
        <v xml:space="preserve"> 0-0</v>
      </c>
      <c r="AC48" s="95" t="str">
        <f>IF(AND(LEN(W48)&gt;0,F$20=0),IF(X48=2,W48&amp;" +2, ",W48&amp;", "),"")</f>
        <v/>
      </c>
    </row>
    <row r="49" spans="1:29">
      <c r="A49" s="95">
        <v>20</v>
      </c>
      <c r="B49" s="95">
        <f>IF(Doubles!B83="",0,Doubles!B83)</f>
        <v>0</v>
      </c>
      <c r="C49" s="99" t="str">
        <f>IF(OR(LEFT(B49,LEN(B$21))=B$21,LEFT(B49,LEN(C$21))=C$21,LEN(B49)&lt;2),"",IF(B49="no pick","","Wrong pick"))</f>
        <v/>
      </c>
      <c r="D49" s="95">
        <f t="shared" si="6"/>
        <v>0</v>
      </c>
      <c r="E49" s="95">
        <f t="shared" si="7"/>
        <v>0</v>
      </c>
      <c r="G49" s="95" t="str">
        <f>IF(B49=0,"",IF(B49="no pick","No Pick",IF(LEFT(B49,LEN(B$21))=B$21,B$21,C$21)))</f>
        <v/>
      </c>
      <c r="H49" s="95" t="str">
        <f t="shared" si="8"/>
        <v>0-0</v>
      </c>
      <c r="I49" s="95" t="str">
        <f>IF(AND(J49=$I$2,F$21=0,NOT(E$21="")),IF(OR(AND(Y49=AA49,Z49=AB49),AND(Y49=AB49,Z49=AA49)),"",IF(AND(Y49=Z49,AA49=AB49),Y49&amp;" +2 v. "&amp;AA49&amp;" +2, ",IF(Y49=AA49,Z49&amp;" v. "&amp;AB49&amp;", ",IF(Z49=AB49,Y49&amp;" v. "&amp;AA49&amp;", ",IF(Y49=AB49,Z49&amp;" v. "&amp;AA49&amp;", ",IF(Z49=AA49,Y49&amp;" v. "&amp;AB49&amp;", ",Y49&amp;" v. "&amp;AA49&amp;", "&amp;Z49&amp;" v. "&amp;AB49&amp;", ")))))),"")</f>
        <v/>
      </c>
      <c r="J49" s="95">
        <f>D$21</f>
        <v>0</v>
      </c>
      <c r="K49" s="95" t="str">
        <f t="shared" si="9"/>
        <v>SR</v>
      </c>
      <c r="L49" s="95" t="str">
        <f t="shared" si="10"/>
        <v>0</v>
      </c>
      <c r="M49" s="95" t="str">
        <f t="shared" si="11"/>
        <v>0</v>
      </c>
      <c r="N49" s="95" t="str">
        <f t="shared" si="12"/>
        <v>0</v>
      </c>
      <c r="O49" s="95" t="str">
        <f t="shared" si="13"/>
        <v>0</v>
      </c>
      <c r="P49" s="95" t="str">
        <f t="shared" si="14"/>
        <v>0</v>
      </c>
      <c r="Q49" s="95">
        <f>IF(AND(G49=T$21,LEN(G49)&gt;1),1,0)</f>
        <v>0</v>
      </c>
      <c r="R49" s="97">
        <f>Doubles!G$21</f>
        <v>20</v>
      </c>
      <c r="S49" s="95">
        <f>IF(AND(H49=H$21,LEN(H49)&gt;1,Q49=1),1,0)</f>
        <v>0</v>
      </c>
      <c r="V49" s="97">
        <f>VLOOKUP(20,R30:S53,2,0)</f>
        <v>0</v>
      </c>
      <c r="W49" s="95" t="str">
        <f t="shared" si="15"/>
        <v/>
      </c>
      <c r="X49" s="95">
        <f>IF(F$21=0,IF(AND(G49=G101,NOT(G49=G75),NOT(G49=G127),LEN(W49)&gt;0),2,IF(LEN(W49)=0,0,1)),0)</f>
        <v>0</v>
      </c>
      <c r="Y49" s="95" t="str">
        <f t="shared" si="16"/>
        <v xml:space="preserve"> 0-0</v>
      </c>
      <c r="Z49" s="95" t="str">
        <f t="shared" si="17"/>
        <v xml:space="preserve"> 0-0</v>
      </c>
      <c r="AA49" s="95" t="str">
        <f t="shared" si="18"/>
        <v xml:space="preserve"> 0-0</v>
      </c>
      <c r="AB49" s="95" t="str">
        <f t="shared" si="19"/>
        <v xml:space="preserve"> 0-0</v>
      </c>
      <c r="AC49" s="95" t="str">
        <f>IF(AND(LEN(W49)&gt;0,F$21=0),IF(X49=2,W49&amp;" +2, ",W49&amp;", "),"")</f>
        <v/>
      </c>
    </row>
    <row r="50" spans="1:29">
      <c r="A50" s="95">
        <v>21</v>
      </c>
      <c r="B50" s="95">
        <f>IF(Doubles!B84="",0,Doubles!B84)</f>
        <v>0</v>
      </c>
      <c r="C50" s="99" t="str">
        <f>IF(OR(LEFT(B50,LEN(B$22))=B$22,LEFT(B50,LEN(C$22))=C$22,LEN(B50)&lt;2),"",IF(B50="no pick","","Wrong pick"))</f>
        <v/>
      </c>
      <c r="D50" s="95">
        <f t="shared" si="6"/>
        <v>0</v>
      </c>
      <c r="E50" s="95">
        <f t="shared" si="7"/>
        <v>0</v>
      </c>
      <c r="G50" s="95" t="str">
        <f>IF(B50=0,"",IF(B50="no pick","No Pick",IF(LEFT(B50,LEN(B$22))=B$22,B$22,C$22)))</f>
        <v/>
      </c>
      <c r="H50" s="95" t="str">
        <f t="shared" si="8"/>
        <v>0-0</v>
      </c>
      <c r="I50" s="95" t="str">
        <f>IF(AND(J50=$I$2,F$22=0,NOT(E$22="")),IF(OR(AND(Y50=AA50,Z50=AB50),AND(Y50=AB50,Z50=AA50)),"",IF(AND(Y50=Z50,AA50=AB50),Y50&amp;" +2 v. "&amp;AA50&amp;" +2, ",IF(Y50=AA50,Z50&amp;" v. "&amp;AB50&amp;", ",IF(Z50=AB50,Y50&amp;" v. "&amp;AA50&amp;", ",IF(Y50=AB50,Z50&amp;" v. "&amp;AA50&amp;", ",IF(Z50=AA50,Y50&amp;" v. "&amp;AB50&amp;", ",Y50&amp;" v. "&amp;AA50&amp;", "&amp;Z50&amp;" v. "&amp;AB50&amp;", ")))))),"")</f>
        <v/>
      </c>
      <c r="J50" s="95">
        <f>D$22</f>
        <v>0</v>
      </c>
      <c r="K50" s="95" t="str">
        <f t="shared" si="9"/>
        <v>SR</v>
      </c>
      <c r="L50" s="95" t="str">
        <f t="shared" si="10"/>
        <v>0</v>
      </c>
      <c r="M50" s="95" t="str">
        <f t="shared" si="11"/>
        <v>0</v>
      </c>
      <c r="N50" s="95" t="str">
        <f t="shared" si="12"/>
        <v>0</v>
      </c>
      <c r="O50" s="95" t="str">
        <f t="shared" si="13"/>
        <v>0</v>
      </c>
      <c r="P50" s="95" t="str">
        <f t="shared" si="14"/>
        <v>0</v>
      </c>
      <c r="Q50" s="95">
        <f>IF(AND(G50=T$22,LEN(G50)&gt;1),1,0)</f>
        <v>0</v>
      </c>
      <c r="R50" s="97">
        <f>Doubles!G$22</f>
        <v>21</v>
      </c>
      <c r="S50" s="95">
        <f>IF(AND(H50=H$22,LEN(H50)&gt;1,Q50=1),1,0)</f>
        <v>0</v>
      </c>
      <c r="V50" s="97">
        <f>VLOOKUP(21,R30:S53,2,0)</f>
        <v>0</v>
      </c>
      <c r="W50" s="95" t="str">
        <f t="shared" si="15"/>
        <v/>
      </c>
      <c r="X50" s="95">
        <f>IF(F$22=0,IF(AND(G50=G102,NOT(G50=G76),NOT(G50=G128),LEN(W50)&gt;0),2,IF(LEN(W50)=0,0,1)),0)</f>
        <v>0</v>
      </c>
      <c r="Y50" s="95" t="str">
        <f t="shared" si="16"/>
        <v xml:space="preserve"> 0-0</v>
      </c>
      <c r="Z50" s="95" t="str">
        <f t="shared" si="17"/>
        <v xml:space="preserve"> 0-0</v>
      </c>
      <c r="AA50" s="95" t="str">
        <f t="shared" si="18"/>
        <v xml:space="preserve"> 0-0</v>
      </c>
      <c r="AB50" s="95" t="str">
        <f t="shared" si="19"/>
        <v xml:space="preserve"> 0-0</v>
      </c>
      <c r="AC50" s="95" t="str">
        <f>IF(AND(LEN(W50)&gt;0,F$22=0),IF(X50=2,W50&amp;" +2, ",W50&amp;", "),"")</f>
        <v/>
      </c>
    </row>
    <row r="51" spans="1:29">
      <c r="A51" s="95">
        <v>22</v>
      </c>
      <c r="B51" s="95">
        <f>IF(Doubles!B85="",0,Doubles!B85)</f>
        <v>0</v>
      </c>
      <c r="C51" s="99" t="str">
        <f>IF(OR(LEFT(B51,LEN(B$23))=B$23,LEFT(B51,LEN(C$23))=C$23,LEN(B51)&lt;2),"",IF(B51="no pick","","Wrong pick"))</f>
        <v/>
      </c>
      <c r="D51" s="95">
        <f t="shared" si="6"/>
        <v>0</v>
      </c>
      <c r="E51" s="95">
        <f t="shared" si="7"/>
        <v>0</v>
      </c>
      <c r="G51" s="95" t="str">
        <f>IF(B51=0,"",IF(B51="no pick","No Pick",IF(LEFT(B51,LEN(B$23))=B$23,B$23,C$23)))</f>
        <v/>
      </c>
      <c r="H51" s="95" t="str">
        <f t="shared" si="8"/>
        <v>0-0</v>
      </c>
      <c r="I51" s="95" t="str">
        <f>IF(AND(J51=$I$2,F$23=0,NOT(E$23="")),IF(OR(AND(Y51=AA51,Z51=AB51),AND(Y51=AB51,Z51=AA51)),"",IF(AND(Y51=Z51,AA51=AB51),Y51&amp;" +2 v. "&amp;AA51&amp;" +2, ",IF(Y51=AA51,Z51&amp;" v. "&amp;AB51&amp;", ",IF(Z51=AB51,Y51&amp;" v. "&amp;AA51&amp;", ",IF(Y51=AB51,Z51&amp;" v. "&amp;AA51&amp;", ",IF(Z51=AA51,Y51&amp;" v. "&amp;AB51&amp;", ",Y51&amp;" v. "&amp;AA51&amp;", "&amp;Z51&amp;" v. "&amp;AB51&amp;", ")))))),"")</f>
        <v/>
      </c>
      <c r="J51" s="95">
        <f>D$23</f>
        <v>0</v>
      </c>
      <c r="K51" s="95" t="str">
        <f t="shared" si="9"/>
        <v>SR</v>
      </c>
      <c r="L51" s="95" t="str">
        <f t="shared" si="10"/>
        <v>0</v>
      </c>
      <c r="M51" s="95" t="str">
        <f t="shared" si="11"/>
        <v>0</v>
      </c>
      <c r="N51" s="95" t="str">
        <f t="shared" si="12"/>
        <v>0</v>
      </c>
      <c r="O51" s="95" t="str">
        <f t="shared" si="13"/>
        <v>0</v>
      </c>
      <c r="P51" s="95" t="str">
        <f t="shared" si="14"/>
        <v>0</v>
      </c>
      <c r="Q51" s="95">
        <f>IF(AND(G51=T$23,LEN(G51)&gt;1),1,0)</f>
        <v>0</v>
      </c>
      <c r="R51" s="97">
        <f>Doubles!G$23</f>
        <v>22</v>
      </c>
      <c r="S51" s="95">
        <f>IF(AND(H51=H$23,LEN(H51)&gt;1,Q51=1),1,0)</f>
        <v>0</v>
      </c>
      <c r="V51" s="97">
        <f>VLOOKUP(22,R30:S53,2,0)</f>
        <v>0</v>
      </c>
      <c r="W51" s="95" t="str">
        <f t="shared" si="15"/>
        <v/>
      </c>
      <c r="X51" s="95">
        <f>IF(F$23=0,IF(AND(G51=G103,NOT(G51=G77),NOT(G51=G129),LEN(W51)&gt;0),2,IF(LEN(W51)=0,0,1)),0)</f>
        <v>0</v>
      </c>
      <c r="Y51" s="95" t="str">
        <f t="shared" si="16"/>
        <v xml:space="preserve"> 0-0</v>
      </c>
      <c r="Z51" s="95" t="str">
        <f t="shared" si="17"/>
        <v xml:space="preserve"> 0-0</v>
      </c>
      <c r="AA51" s="95" t="str">
        <f t="shared" si="18"/>
        <v xml:space="preserve"> 0-0</v>
      </c>
      <c r="AB51" s="95" t="str">
        <f t="shared" si="19"/>
        <v xml:space="preserve"> 0-0</v>
      </c>
      <c r="AC51" s="95" t="str">
        <f>IF(AND(LEN(W51)&gt;0,F$23=0),IF(X51=2,W51&amp;" +2, ",W51&amp;", "),"")</f>
        <v/>
      </c>
    </row>
    <row r="52" spans="1:29">
      <c r="A52" s="95">
        <v>23</v>
      </c>
      <c r="B52" s="95">
        <f>IF(Doubles!B86="",0,Doubles!B86)</f>
        <v>0</v>
      </c>
      <c r="C52" s="99" t="str">
        <f>IF(OR(LEFT(B52,LEN(B$24))=B$24,LEFT(B52,LEN(C$24))=C$24,LEN(B52)&lt;2),"",IF(B52="no pick","","Wrong pick"))</f>
        <v/>
      </c>
      <c r="D52" s="95">
        <f t="shared" si="6"/>
        <v>0</v>
      </c>
      <c r="E52" s="95">
        <f t="shared" si="7"/>
        <v>0</v>
      </c>
      <c r="G52" s="95" t="str">
        <f>IF(B52=0,"",IF(B52="no pick","No Pick",IF(LEFT(B52,LEN(B$24))=B$24,B$24,C$24)))</f>
        <v/>
      </c>
      <c r="H52" s="95" t="str">
        <f t="shared" si="8"/>
        <v>0-0</v>
      </c>
      <c r="I52" s="95" t="str">
        <f>IF(AND(J52=$I$2,F$24=0,NOT(E$24="")),IF(OR(AND(Y52=AA52,Z52=AB52),AND(Y52=AB52,Z52=AA52)),"",IF(AND(Y52=Z52,AA52=AB52),Y52&amp;" +2 v. "&amp;AA52&amp;" +2, ",IF(Y52=AA52,Z52&amp;" v. "&amp;AB52&amp;", ",IF(Z52=AB52,Y52&amp;" v. "&amp;AA52&amp;", ",IF(Y52=AB52,Z52&amp;" v. "&amp;AA52&amp;", ",IF(Z52=AA52,Y52&amp;" v. "&amp;AB52&amp;", ",Y52&amp;" v. "&amp;AA52&amp;", "&amp;Z52&amp;" v. "&amp;AB52&amp;", ")))))),"")</f>
        <v/>
      </c>
      <c r="J52" s="95">
        <f>D$24</f>
        <v>0</v>
      </c>
      <c r="K52" s="95" t="str">
        <f t="shared" si="9"/>
        <v>SR</v>
      </c>
      <c r="L52" s="95" t="str">
        <f t="shared" si="10"/>
        <v>0</v>
      </c>
      <c r="M52" s="95" t="str">
        <f t="shared" si="11"/>
        <v>0</v>
      </c>
      <c r="N52" s="95" t="str">
        <f t="shared" si="12"/>
        <v>0</v>
      </c>
      <c r="O52" s="95" t="str">
        <f t="shared" si="13"/>
        <v>0</v>
      </c>
      <c r="P52" s="95" t="str">
        <f t="shared" si="14"/>
        <v>0</v>
      </c>
      <c r="Q52" s="95">
        <f>IF(AND(G52=T$24,LEN(G52)&gt;1),1,0)</f>
        <v>0</v>
      </c>
      <c r="R52" s="97">
        <f>Doubles!G$24</f>
        <v>23</v>
      </c>
      <c r="S52" s="95">
        <f>IF(AND(H52=H$24,LEN(H52)&gt;1,Q52=1),1,0)</f>
        <v>0</v>
      </c>
      <c r="V52" s="97">
        <f>VLOOKUP(23,R30:S53,2,0)</f>
        <v>0</v>
      </c>
      <c r="W52" s="95" t="str">
        <f t="shared" si="15"/>
        <v/>
      </c>
      <c r="X52" s="95">
        <f>IF(F$24=0,IF(AND(G52=G104,NOT(G52=G78),NOT(G52=G130),LEN(W52)&gt;0),2,IF(LEN(W52)=0,0,1)),0)</f>
        <v>0</v>
      </c>
      <c r="Y52" s="95" t="str">
        <f t="shared" si="16"/>
        <v xml:space="preserve"> 0-0</v>
      </c>
      <c r="Z52" s="95" t="str">
        <f t="shared" si="17"/>
        <v xml:space="preserve"> 0-0</v>
      </c>
      <c r="AA52" s="95" t="str">
        <f t="shared" si="18"/>
        <v xml:space="preserve"> 0-0</v>
      </c>
      <c r="AB52" s="95" t="str">
        <f t="shared" si="19"/>
        <v xml:space="preserve"> 0-0</v>
      </c>
      <c r="AC52" s="95" t="str">
        <f>IF(AND(LEN(W52)&gt;0,F$24=0),IF(X52=2,W52&amp;" +2, ",W52&amp;", "),"")</f>
        <v/>
      </c>
    </row>
    <row r="53" spans="1:29">
      <c r="A53" s="95">
        <v>24</v>
      </c>
      <c r="B53" s="95">
        <f>IF(Doubles!B87="",0,Doubles!B87)</f>
        <v>0</v>
      </c>
      <c r="C53" s="99" t="str">
        <f>IF(OR(LEFT(B53,LEN(B$25))=B$25,LEFT(B53,LEN(C$25))=C$25,LEN(B53)&lt;2),"",IF(B53="no pick","","Wrong pick"))</f>
        <v/>
      </c>
      <c r="D53" s="95">
        <f t="shared" si="6"/>
        <v>0</v>
      </c>
      <c r="E53" s="95">
        <f t="shared" si="7"/>
        <v>0</v>
      </c>
      <c r="G53" s="95" t="str">
        <f>IF(B53=0,"",IF(B53="no pick","No Pick",IF(LEFT(B53,LEN(B$25))=B$25,B$25,C$25)))</f>
        <v/>
      </c>
      <c r="H53" s="95" t="str">
        <f t="shared" si="8"/>
        <v>0-0</v>
      </c>
      <c r="I53" s="95" t="str">
        <f>IF(AND(J53=$I$2,F$25=0,NOT(E$25="")),IF(OR(AND(Y53=AA53,Z53=AB53),AND(Y53=AB53,Z53=AA53)),"",IF(AND(Y53=Z53,AA53=AB53),Y53&amp;" +2 v. "&amp;AA53&amp;" +2, ",IF(Y53=AA53,Z53&amp;" v. "&amp;AB53&amp;", ",IF(Z53=AB53,Y53&amp;" v. "&amp;AA53&amp;", ",IF(Y53=AB53,Z53&amp;" v. "&amp;AA53&amp;", ",IF(Z53=AA53,Y53&amp;" v. "&amp;AB53&amp;", ",Y53&amp;" v. "&amp;AA53&amp;", "&amp;Z53&amp;" v. "&amp;AB53&amp;", ")))))),"")</f>
        <v/>
      </c>
      <c r="J53" s="95">
        <f>D$25</f>
        <v>0</v>
      </c>
      <c r="K53" s="95" t="str">
        <f t="shared" si="9"/>
        <v>SR</v>
      </c>
      <c r="L53" s="95" t="str">
        <f t="shared" si="10"/>
        <v>0</v>
      </c>
      <c r="M53" s="95" t="str">
        <f t="shared" si="11"/>
        <v>0</v>
      </c>
      <c r="N53" s="95" t="str">
        <f t="shared" si="12"/>
        <v>0</v>
      </c>
      <c r="O53" s="95" t="str">
        <f t="shared" si="13"/>
        <v>0</v>
      </c>
      <c r="P53" s="95" t="str">
        <f t="shared" si="14"/>
        <v>0</v>
      </c>
      <c r="Q53" s="95">
        <f>IF(AND(G53=T$25,LEN(G53)&gt;1),1,0)</f>
        <v>0</v>
      </c>
      <c r="R53" s="97">
        <f>Doubles!G$25</f>
        <v>24</v>
      </c>
      <c r="S53" s="95">
        <f>IF(AND(H53=H$25,LEN(H53)&gt;1,Q53=1),1,0)</f>
        <v>0</v>
      </c>
      <c r="V53" s="97">
        <f>VLOOKUP(24,R30:S53,2,0)</f>
        <v>0</v>
      </c>
      <c r="W53" s="95" t="str">
        <f t="shared" si="15"/>
        <v/>
      </c>
      <c r="X53" s="95">
        <f>IF(F$25=0,IF(AND(G53=G105,NOT(G53=G79),NOT(G53=G131),LEN(W53)&gt;0),2,IF(LEN(W53)=0,0,1)),0)</f>
        <v>0</v>
      </c>
      <c r="Y53" s="95" t="str">
        <f t="shared" si="16"/>
        <v xml:space="preserve"> 0-0</v>
      </c>
      <c r="Z53" s="95" t="str">
        <f t="shared" si="17"/>
        <v xml:space="preserve"> 0-0</v>
      </c>
      <c r="AA53" s="95" t="str">
        <f t="shared" si="18"/>
        <v xml:space="preserve"> 0-0</v>
      </c>
      <c r="AB53" s="95" t="str">
        <f t="shared" si="19"/>
        <v xml:space="preserve"> 0-0</v>
      </c>
      <c r="AC53" s="95" t="str">
        <f>IF(AND(LEN(W53)&gt;0,F$25=0),IF(X53=2,W53&amp;" +2, ",W53&amp;", "),"")</f>
        <v/>
      </c>
    </row>
    <row r="55" spans="1:29">
      <c r="A55" s="95" t="str">
        <f>IF(LEN(VLOOKUP(B55,Doubles!$A$2:$D$17,4,0))&gt;0,VLOOKUP(B55,Doubles!$A$2:$D$17,4,0),"")</f>
        <v/>
      </c>
      <c r="B55" s="96" t="str">
        <f>Doubles!D63</f>
        <v>BYE</v>
      </c>
      <c r="C55" s="96">
        <v>2</v>
      </c>
      <c r="D55" s="95">
        <f>VLOOKUP(B55,Doubles!$A$2:$E$17,5,0)</f>
        <v>0</v>
      </c>
      <c r="J55" s="95" t="s">
        <v>88</v>
      </c>
      <c r="Q55" s="95" t="s">
        <v>121</v>
      </c>
      <c r="S55" s="95" t="s">
        <v>122</v>
      </c>
      <c r="T55" s="95" t="str">
        <f>IF(LEN(A55)&gt;0,"("&amp;A55&amp;") "&amp;B55,B55)</f>
        <v>BYE</v>
      </c>
      <c r="V55" s="95" t="s">
        <v>122</v>
      </c>
      <c r="Z55" s="95" t="s">
        <v>129</v>
      </c>
    </row>
    <row r="56" spans="1:29">
      <c r="A56" s="95">
        <v>1</v>
      </c>
      <c r="B56" s="95">
        <f>IF(Doubles!D64="",0,Doubles!D64)</f>
        <v>0</v>
      </c>
      <c r="C56" s="99" t="str">
        <f>IF(OR(LEFT(B56,LEN(B$2))=B$2,LEFT(B56,LEN(C$2))=C$2,LEN(B56)&lt;2),"",IF(B56="no pick","","Wrong pick"))</f>
        <v/>
      </c>
      <c r="E56" s="95">
        <f t="shared" ref="E56:E79" si="20">IF(AND($I$2=J56,B56=0),1,0)</f>
        <v>1</v>
      </c>
      <c r="F56" s="95" t="str">
        <f>IF(AND(SUM(E56:E79)=$I$4,NOT(B55="Bye")),"Missing picks from "&amp;B55&amp;" ","")</f>
        <v/>
      </c>
      <c r="G56" s="95" t="str">
        <f>IF(B56=0,"",IF(B56="no pick","No Pick",IF(LEFT(B56,LEN(B$2))=B$2,B$2,C$2)))</f>
        <v/>
      </c>
      <c r="H56" s="95" t="str">
        <f t="shared" ref="H56:H79" si="21">IF(L56="","",IF(K56="PTS",IF(LEN(O56)&lt;8,"2-0","2-1"),LEFT(O56,1)&amp;"-"&amp;RIGHT(O56,1)))</f>
        <v>0-0</v>
      </c>
      <c r="J56" s="97">
        <f>D$2</f>
        <v>1</v>
      </c>
      <c r="K56" s="95" t="str">
        <f t="shared" ref="K56:K79" si="22">IF(LEN(L56)&gt;0,IF(LEN(O56)&lt;4,"SR","PTS"),"")</f>
        <v>SR</v>
      </c>
      <c r="L56" s="95" t="str">
        <f t="shared" ref="L56:L79" si="23">TRIM(RIGHT(B56,LEN(B56)-LEN(G56)))</f>
        <v>0</v>
      </c>
      <c r="M56" s="95" t="str">
        <f t="shared" ref="M56:M79" si="24">SUBSTITUTE(L56,"-","")</f>
        <v>0</v>
      </c>
      <c r="N56" s="95" t="str">
        <f t="shared" ref="N56:N79" si="25">SUBSTITUTE(M56,","," ")</f>
        <v>0</v>
      </c>
      <c r="O56" s="95" t="str">
        <f t="shared" ref="O56:O79" si="26">IF(AND(LEN(TRIM(SUBSTITUTE(P56,"/","")))&gt;6,OR(LEFT(TRIM(SUBSTITUTE(P56,"/","")),2)="20",LEFT(TRIM(SUBSTITUTE(P56,"/","")),2)="21")),RIGHT(TRIM(SUBSTITUTE(P56,"/","")),LEN(TRIM(SUBSTITUTE(P56,"/","")))-3),TRIM(SUBSTITUTE(P56,"/","")))</f>
        <v>0</v>
      </c>
      <c r="P56" s="95" t="str">
        <f t="shared" ref="P56:P79" si="27">SUBSTITUTE(N56,":","")</f>
        <v>0</v>
      </c>
      <c r="Q56" s="95">
        <f>IF(AND(G56=T$2,LEN(G56)&gt;1),1,0)</f>
        <v>0</v>
      </c>
      <c r="R56" s="97">
        <f>Doubles!G$2</f>
        <v>1</v>
      </c>
      <c r="S56" s="95">
        <f>IF(AND(H56=H$2,LEN(H56)&gt;1,Q56=1),1,0)</f>
        <v>0</v>
      </c>
      <c r="V56" s="97">
        <f>VLOOKUP(1,R56:S79,2,0)</f>
        <v>0</v>
      </c>
      <c r="W56" s="95">
        <v>1</v>
      </c>
      <c r="Y56" s="95">
        <f>COUNTIF(X30:X53,"&gt;0")</f>
        <v>16</v>
      </c>
    </row>
    <row r="57" spans="1:29">
      <c r="A57" s="95">
        <v>2</v>
      </c>
      <c r="B57" s="95">
        <f>IF(Doubles!D65="",0,Doubles!D65)</f>
        <v>0</v>
      </c>
      <c r="C57" s="99" t="str">
        <f>IF(OR(LEFT(B57,LEN(B$3))=B$3,LEFT(B57,LEN(C$3))=C$3,LEN(B57)&lt;2),"",IF(B57="no pick","","Wrong pick"))</f>
        <v/>
      </c>
      <c r="E57" s="95">
        <f t="shared" si="20"/>
        <v>1</v>
      </c>
      <c r="G57" s="95" t="str">
        <f>IF(B57=0,"",IF(B57="no pick","No Pick",IF(LEFT(B57,LEN(B$3))=B$3,B$3,C$3)))</f>
        <v/>
      </c>
      <c r="H57" s="95" t="str">
        <f t="shared" si="21"/>
        <v>0-0</v>
      </c>
      <c r="J57" s="97">
        <f>D$3</f>
        <v>1</v>
      </c>
      <c r="K57" s="95" t="str">
        <f t="shared" si="22"/>
        <v>SR</v>
      </c>
      <c r="L57" s="95" t="str">
        <f t="shared" si="23"/>
        <v>0</v>
      </c>
      <c r="M57" s="95" t="str">
        <f t="shared" si="24"/>
        <v>0</v>
      </c>
      <c r="N57" s="95" t="str">
        <f t="shared" si="25"/>
        <v>0</v>
      </c>
      <c r="O57" s="95" t="str">
        <f t="shared" si="26"/>
        <v>0</v>
      </c>
      <c r="P57" s="95" t="str">
        <f t="shared" si="27"/>
        <v>0</v>
      </c>
      <c r="Q57" s="95">
        <f>IF(AND(G57=T$3,LEN(G57)&gt;1),1,0)</f>
        <v>0</v>
      </c>
      <c r="R57" s="97">
        <f>Doubles!G$3</f>
        <v>2</v>
      </c>
      <c r="S57" s="95">
        <f>IF(AND(H57=H$3,LEN(H57)&gt;1,Q57=1),1,0)</f>
        <v>0</v>
      </c>
      <c r="V57" s="97">
        <f>VLOOKUP(2,R56:S79,2,0)</f>
        <v>0</v>
      </c>
      <c r="W57" s="95">
        <v>2</v>
      </c>
    </row>
    <row r="58" spans="1:29">
      <c r="A58" s="95">
        <v>3</v>
      </c>
      <c r="B58" s="95">
        <f>IF(Doubles!D66="",0,Doubles!D66)</f>
        <v>0</v>
      </c>
      <c r="C58" s="99" t="str">
        <f>IF(OR(LEFT(B58,LEN(B$4))=B$4,LEFT(B58,LEN(C$4))=C$4,LEN(B58)&lt;2),"",IF(B58="no pick","","Wrong pick"))</f>
        <v/>
      </c>
      <c r="E58" s="95">
        <f t="shared" si="20"/>
        <v>1</v>
      </c>
      <c r="G58" s="95" t="str">
        <f>IF(B58=0,"",IF(B58="no pick","No Pick",IF(LEFT(B58,LEN(B$4))=B$4,B$4,C$4)))</f>
        <v/>
      </c>
      <c r="H58" s="95" t="str">
        <f t="shared" si="21"/>
        <v>0-0</v>
      </c>
      <c r="J58" s="97">
        <f>D$4</f>
        <v>1</v>
      </c>
      <c r="K58" s="95" t="str">
        <f t="shared" si="22"/>
        <v>SR</v>
      </c>
      <c r="L58" s="95" t="str">
        <f t="shared" si="23"/>
        <v>0</v>
      </c>
      <c r="M58" s="95" t="str">
        <f t="shared" si="24"/>
        <v>0</v>
      </c>
      <c r="N58" s="95" t="str">
        <f t="shared" si="25"/>
        <v>0</v>
      </c>
      <c r="O58" s="95" t="str">
        <f t="shared" si="26"/>
        <v>0</v>
      </c>
      <c r="P58" s="95" t="str">
        <f t="shared" si="27"/>
        <v>0</v>
      </c>
      <c r="Q58" s="95">
        <f>IF(AND(G58=T$4,LEN(G58)&gt;1),1,0)</f>
        <v>0</v>
      </c>
      <c r="R58" s="97">
        <f>Doubles!G$4</f>
        <v>3</v>
      </c>
      <c r="S58" s="95">
        <f>IF(AND(H58=H$4,LEN(H58)&gt;1,Q58=1),1,0)</f>
        <v>0</v>
      </c>
      <c r="V58" s="97">
        <f>VLOOKUP(3,R56:S79,2,0)</f>
        <v>0</v>
      </c>
      <c r="W58" s="95">
        <v>3</v>
      </c>
    </row>
    <row r="59" spans="1:29">
      <c r="A59" s="95">
        <v>4</v>
      </c>
      <c r="B59" s="95">
        <f>IF(Doubles!D67="",0,Doubles!D67)</f>
        <v>0</v>
      </c>
      <c r="C59" s="99" t="str">
        <f>IF(OR(LEFT(B59,LEN(B$5))=B$5,LEFT(B59,LEN(C$5))=C$5,LEN(B59)&lt;2),"",IF(B59="no pick","","Wrong pick"))</f>
        <v/>
      </c>
      <c r="E59" s="95">
        <f t="shared" si="20"/>
        <v>1</v>
      </c>
      <c r="G59" s="95" t="str">
        <f>IF(B59=0,"",IF(B59="no pick","No Pick",IF(LEFT(B59,LEN(B$5))=B$5,B$5,C$5)))</f>
        <v/>
      </c>
      <c r="H59" s="95" t="str">
        <f t="shared" si="21"/>
        <v>0-0</v>
      </c>
      <c r="J59" s="97">
        <f>D$5</f>
        <v>1</v>
      </c>
      <c r="K59" s="95" t="str">
        <f t="shared" si="22"/>
        <v>SR</v>
      </c>
      <c r="L59" s="95" t="str">
        <f t="shared" si="23"/>
        <v>0</v>
      </c>
      <c r="M59" s="95" t="str">
        <f t="shared" si="24"/>
        <v>0</v>
      </c>
      <c r="N59" s="95" t="str">
        <f t="shared" si="25"/>
        <v>0</v>
      </c>
      <c r="O59" s="95" t="str">
        <f t="shared" si="26"/>
        <v>0</v>
      </c>
      <c r="P59" s="95" t="str">
        <f t="shared" si="27"/>
        <v>0</v>
      </c>
      <c r="Q59" s="95">
        <f>IF(AND(G59=T$5,LEN(G59)&gt;1),1,0)</f>
        <v>0</v>
      </c>
      <c r="R59" s="97">
        <f>Doubles!G$5</f>
        <v>4</v>
      </c>
      <c r="S59" s="95">
        <f>IF(AND(H59=H$5,LEN(H59)&gt;1,Q59=1),1,0)</f>
        <v>0</v>
      </c>
      <c r="V59" s="97">
        <f>VLOOKUP(4,R56:S79,2,0)</f>
        <v>0</v>
      </c>
      <c r="W59" s="95">
        <v>4</v>
      </c>
    </row>
    <row r="60" spans="1:29">
      <c r="A60" s="95">
        <v>5</v>
      </c>
      <c r="B60" s="95">
        <f>IF(Doubles!D68="",0,Doubles!D68)</f>
        <v>0</v>
      </c>
      <c r="C60" s="99" t="str">
        <f>IF(OR(LEFT(B60,LEN(B$6))=B$6,LEFT(B60,LEN(C$6))=C$6,LEN(B60)&lt;2),"",IF(B60="no pick","","Wrong pick"))</f>
        <v/>
      </c>
      <c r="E60" s="95">
        <f t="shared" si="20"/>
        <v>1</v>
      </c>
      <c r="G60" s="95" t="str">
        <f>IF(B60=0,"",IF(B60="no pick","No Pick",IF(LEFT(B60,LEN(B$6))=B$6,B$6,C$6)))</f>
        <v/>
      </c>
      <c r="H60" s="95" t="str">
        <f t="shared" si="21"/>
        <v>0-0</v>
      </c>
      <c r="J60" s="97">
        <f>D$6</f>
        <v>1</v>
      </c>
      <c r="K60" s="95" t="str">
        <f t="shared" si="22"/>
        <v>SR</v>
      </c>
      <c r="L60" s="95" t="str">
        <f t="shared" si="23"/>
        <v>0</v>
      </c>
      <c r="M60" s="95" t="str">
        <f t="shared" si="24"/>
        <v>0</v>
      </c>
      <c r="N60" s="95" t="str">
        <f t="shared" si="25"/>
        <v>0</v>
      </c>
      <c r="O60" s="95" t="str">
        <f t="shared" si="26"/>
        <v>0</v>
      </c>
      <c r="P60" s="95" t="str">
        <f t="shared" si="27"/>
        <v>0</v>
      </c>
      <c r="Q60" s="95">
        <f>IF(AND(G60=T$6,LEN(G60)&gt;1),1,0)</f>
        <v>0</v>
      </c>
      <c r="R60" s="97">
        <f>Doubles!G$6</f>
        <v>5</v>
      </c>
      <c r="S60" s="95">
        <f>IF(AND(H60=H$6,LEN(H60)&gt;1,Q60=1),1,0)</f>
        <v>0</v>
      </c>
      <c r="V60" s="97">
        <f>VLOOKUP(5,R56:S79,2,0)</f>
        <v>0</v>
      </c>
      <c r="W60" s="95">
        <v>5</v>
      </c>
    </row>
    <row r="61" spans="1:29">
      <c r="A61" s="95">
        <v>6</v>
      </c>
      <c r="B61" s="95">
        <f>IF(Doubles!D69="",0,Doubles!D69)</f>
        <v>0</v>
      </c>
      <c r="C61" s="99" t="str">
        <f>IF(OR(LEFT(B61,LEN(B$7))=B$7,LEFT(B61,LEN(C$7))=C$7,LEN(B61)&lt;2),"",IF(B61="no pick","","Wrong pick"))</f>
        <v/>
      </c>
      <c r="E61" s="95">
        <f t="shared" si="20"/>
        <v>1</v>
      </c>
      <c r="G61" s="95" t="str">
        <f>IF(B61=0,"",IF(B61="no pick","No Pick",IF(LEFT(B61,LEN(B$7))=B$7,B$7,C$7)))</f>
        <v/>
      </c>
      <c r="H61" s="95" t="str">
        <f t="shared" si="21"/>
        <v>0-0</v>
      </c>
      <c r="J61" s="97">
        <f>D$7</f>
        <v>1</v>
      </c>
      <c r="K61" s="95" t="str">
        <f t="shared" si="22"/>
        <v>SR</v>
      </c>
      <c r="L61" s="95" t="str">
        <f t="shared" si="23"/>
        <v>0</v>
      </c>
      <c r="M61" s="95" t="str">
        <f t="shared" si="24"/>
        <v>0</v>
      </c>
      <c r="N61" s="95" t="str">
        <f t="shared" si="25"/>
        <v>0</v>
      </c>
      <c r="O61" s="95" t="str">
        <f t="shared" si="26"/>
        <v>0</v>
      </c>
      <c r="P61" s="95" t="str">
        <f t="shared" si="27"/>
        <v>0</v>
      </c>
      <c r="Q61" s="95">
        <f>IF(AND(G61=T$7,LEN(G61)&gt;1),1,0)</f>
        <v>0</v>
      </c>
      <c r="R61" s="97">
        <f>Doubles!G$7</f>
        <v>6</v>
      </c>
      <c r="S61" s="95">
        <f>IF(AND(H61=H$7,LEN(H61)&gt;1,Q61=1),1,0)</f>
        <v>0</v>
      </c>
      <c r="V61" s="97">
        <f>VLOOKUP(6,R56:S79,2,0)</f>
        <v>0</v>
      </c>
      <c r="W61" s="95">
        <v>6</v>
      </c>
    </row>
    <row r="62" spans="1:29">
      <c r="A62" s="95">
        <v>7</v>
      </c>
      <c r="B62" s="95">
        <f>IF(Doubles!D70="",0,Doubles!D70)</f>
        <v>0</v>
      </c>
      <c r="C62" s="99" t="str">
        <f>IF(OR(LEFT(B62,LEN(B$8))=B$8,LEFT(B62,LEN(C$8))=C$8,LEN(B62)&lt;2),"",IF(B62="no pick","","Wrong pick"))</f>
        <v/>
      </c>
      <c r="E62" s="95">
        <f t="shared" si="20"/>
        <v>1</v>
      </c>
      <c r="G62" s="95" t="str">
        <f>IF(B62=0,"",IF(B62="no pick","No Pick",IF(LEFT(B62,LEN(B$8))=B$8,B$8,C$8)))</f>
        <v/>
      </c>
      <c r="H62" s="95" t="str">
        <f t="shared" si="21"/>
        <v>0-0</v>
      </c>
      <c r="J62" s="97">
        <f>D$8</f>
        <v>1</v>
      </c>
      <c r="K62" s="95" t="str">
        <f t="shared" si="22"/>
        <v>SR</v>
      </c>
      <c r="L62" s="95" t="str">
        <f t="shared" si="23"/>
        <v>0</v>
      </c>
      <c r="M62" s="95" t="str">
        <f t="shared" si="24"/>
        <v>0</v>
      </c>
      <c r="N62" s="95" t="str">
        <f t="shared" si="25"/>
        <v>0</v>
      </c>
      <c r="O62" s="95" t="str">
        <f t="shared" si="26"/>
        <v>0</v>
      </c>
      <c r="P62" s="95" t="str">
        <f t="shared" si="27"/>
        <v>0</v>
      </c>
      <c r="Q62" s="95">
        <f>IF(AND(G62=T$8,LEN(G62)&gt;1),1,0)</f>
        <v>0</v>
      </c>
      <c r="R62" s="97">
        <f>Doubles!G$8</f>
        <v>7</v>
      </c>
      <c r="S62" s="95">
        <f>IF(AND(H62=H$8,LEN(H62)&gt;1,Q62=1),1,0)</f>
        <v>0</v>
      </c>
      <c r="V62" s="97">
        <f>VLOOKUP(7,R56:S79,2,0)</f>
        <v>0</v>
      </c>
      <c r="W62" s="95">
        <v>7</v>
      </c>
    </row>
    <row r="63" spans="1:29">
      <c r="A63" s="95">
        <v>8</v>
      </c>
      <c r="B63" s="95">
        <f>IF(Doubles!D71="",0,Doubles!D71)</f>
        <v>0</v>
      </c>
      <c r="C63" s="99" t="str">
        <f>IF(OR(LEFT(B63,LEN(B$9))=B$9,LEFT(B63,LEN(C$9))=C$9,LEN(B63)&lt;2),"",IF(B63="no pick","","Wrong pick"))</f>
        <v/>
      </c>
      <c r="E63" s="95">
        <f t="shared" si="20"/>
        <v>1</v>
      </c>
      <c r="G63" s="95" t="str">
        <f>IF(B63=0,"",IF(B63="no pick","No Pick",IF(LEFT(B63,LEN(B$9))=B$9,B$9,C$9)))</f>
        <v/>
      </c>
      <c r="H63" s="95" t="str">
        <f t="shared" si="21"/>
        <v>0-0</v>
      </c>
      <c r="J63" s="97">
        <f>D$9</f>
        <v>1</v>
      </c>
      <c r="K63" s="95" t="str">
        <f t="shared" si="22"/>
        <v>SR</v>
      </c>
      <c r="L63" s="95" t="str">
        <f t="shared" si="23"/>
        <v>0</v>
      </c>
      <c r="M63" s="95" t="str">
        <f t="shared" si="24"/>
        <v>0</v>
      </c>
      <c r="N63" s="95" t="str">
        <f t="shared" si="25"/>
        <v>0</v>
      </c>
      <c r="O63" s="95" t="str">
        <f t="shared" si="26"/>
        <v>0</v>
      </c>
      <c r="P63" s="95" t="str">
        <f t="shared" si="27"/>
        <v>0</v>
      </c>
      <c r="Q63" s="95">
        <f>IF(AND(G63=T$9,LEN(G63)&gt;1),1,0)</f>
        <v>0</v>
      </c>
      <c r="R63" s="97">
        <f>Doubles!G$9</f>
        <v>8</v>
      </c>
      <c r="S63" s="95">
        <f>IF(AND(H63=H$9,LEN(H63)&gt;1,Q63=1),1,0)</f>
        <v>0</v>
      </c>
      <c r="V63" s="97">
        <f>VLOOKUP(8,R56:S79,2,0)</f>
        <v>0</v>
      </c>
      <c r="W63" s="95">
        <v>8</v>
      </c>
    </row>
    <row r="64" spans="1:29">
      <c r="A64" s="95">
        <v>9</v>
      </c>
      <c r="B64" s="95">
        <f>IF(Doubles!D72="",0,Doubles!D72)</f>
        <v>0</v>
      </c>
      <c r="C64" s="99" t="str">
        <f>IF(OR(LEFT(B64,LEN(B$10))=B$10,LEFT(B64,LEN(C$10))=C$10,LEN(B64)&lt;2),"",IF(B64="no pick","","Wrong pick"))</f>
        <v/>
      </c>
      <c r="E64" s="95">
        <f t="shared" si="20"/>
        <v>1</v>
      </c>
      <c r="G64" s="95" t="str">
        <f>IF(B64=0,"",IF(B64="no pick","No Pick",IF(LEFT(B64,LEN(B$10))=B$10,B$10,C$10)))</f>
        <v/>
      </c>
      <c r="H64" s="95" t="str">
        <f t="shared" si="21"/>
        <v>0-0</v>
      </c>
      <c r="J64" s="97">
        <f>D$10</f>
        <v>1</v>
      </c>
      <c r="K64" s="95" t="str">
        <f t="shared" si="22"/>
        <v>SR</v>
      </c>
      <c r="L64" s="95" t="str">
        <f t="shared" si="23"/>
        <v>0</v>
      </c>
      <c r="M64" s="95" t="str">
        <f t="shared" si="24"/>
        <v>0</v>
      </c>
      <c r="N64" s="95" t="str">
        <f t="shared" si="25"/>
        <v>0</v>
      </c>
      <c r="O64" s="95" t="str">
        <f t="shared" si="26"/>
        <v>0</v>
      </c>
      <c r="P64" s="95" t="str">
        <f t="shared" si="27"/>
        <v>0</v>
      </c>
      <c r="Q64" s="95">
        <f>IF(AND(G64=T$10,LEN(G64)&gt;1),1,0)</f>
        <v>0</v>
      </c>
      <c r="R64" s="97">
        <f>Doubles!G$10</f>
        <v>9</v>
      </c>
      <c r="S64" s="95">
        <f>IF(AND(H64=H$10,LEN(H64)&gt;1,Q64=1),1,0)</f>
        <v>0</v>
      </c>
      <c r="V64" s="97">
        <f>VLOOKUP(9,R56:S79,2,0)</f>
        <v>0</v>
      </c>
      <c r="W64" s="95">
        <v>9</v>
      </c>
    </row>
    <row r="65" spans="1:23">
      <c r="A65" s="95">
        <v>10</v>
      </c>
      <c r="B65" s="95">
        <f>IF(Doubles!D73="",0,Doubles!D73)</f>
        <v>0</v>
      </c>
      <c r="C65" s="99" t="str">
        <f>IF(OR(LEFT(B65,LEN(B$11))=B$11,LEFT(B65,LEN(C$11))=C$11,LEN(B65)&lt;2),"",IF(B65="no pick","","Wrong pick"))</f>
        <v/>
      </c>
      <c r="E65" s="95">
        <f t="shared" si="20"/>
        <v>1</v>
      </c>
      <c r="G65" s="95" t="str">
        <f>IF(B65=0,"",IF(B65="no pick","No Pick",IF(LEFT(B65,LEN(B$11))=B$11,B$11,C$11)))</f>
        <v/>
      </c>
      <c r="H65" s="95" t="str">
        <f t="shared" si="21"/>
        <v>0-0</v>
      </c>
      <c r="J65" s="97">
        <f>D$11</f>
        <v>1</v>
      </c>
      <c r="K65" s="95" t="str">
        <f t="shared" si="22"/>
        <v>SR</v>
      </c>
      <c r="L65" s="95" t="str">
        <f t="shared" si="23"/>
        <v>0</v>
      </c>
      <c r="M65" s="95" t="str">
        <f t="shared" si="24"/>
        <v>0</v>
      </c>
      <c r="N65" s="95" t="str">
        <f t="shared" si="25"/>
        <v>0</v>
      </c>
      <c r="O65" s="95" t="str">
        <f t="shared" si="26"/>
        <v>0</v>
      </c>
      <c r="P65" s="95" t="str">
        <f t="shared" si="27"/>
        <v>0</v>
      </c>
      <c r="Q65" s="95">
        <f>IF(AND(G65=T$11,LEN(G65)&gt;1),1,0)</f>
        <v>0</v>
      </c>
      <c r="R65" s="97">
        <f>Doubles!G$11</f>
        <v>10</v>
      </c>
      <c r="S65" s="95">
        <f>IF(AND(H65=H$11,LEN(H65)&gt;1,Q65=1),1,0)</f>
        <v>0</v>
      </c>
      <c r="V65" s="97">
        <f>VLOOKUP(10,R56:S79,2,0)</f>
        <v>0</v>
      </c>
      <c r="W65" s="95">
        <v>10</v>
      </c>
    </row>
    <row r="66" spans="1:23">
      <c r="A66" s="95">
        <v>11</v>
      </c>
      <c r="B66" s="95">
        <f>IF(Doubles!D74="",0,Doubles!D74)</f>
        <v>0</v>
      </c>
      <c r="C66" s="99" t="str">
        <f>IF(OR(LEFT(B66,LEN(B$12))=B$12,LEFT(B66,LEN(C$12))=C$12,LEN(B66)&lt;2),"",IF(B66="no pick","","Wrong pick"))</f>
        <v/>
      </c>
      <c r="E66" s="95">
        <f t="shared" si="20"/>
        <v>1</v>
      </c>
      <c r="G66" s="95" t="str">
        <f>IF(B66=0,"",IF(B66="no pick","No Pick",IF(LEFT(B66,LEN(B$12))=B$12,B$12,C$12)))</f>
        <v/>
      </c>
      <c r="H66" s="95" t="str">
        <f t="shared" si="21"/>
        <v>0-0</v>
      </c>
      <c r="J66" s="97">
        <f>D$12</f>
        <v>1</v>
      </c>
      <c r="K66" s="95" t="str">
        <f t="shared" si="22"/>
        <v>SR</v>
      </c>
      <c r="L66" s="95" t="str">
        <f t="shared" si="23"/>
        <v>0</v>
      </c>
      <c r="M66" s="95" t="str">
        <f t="shared" si="24"/>
        <v>0</v>
      </c>
      <c r="N66" s="95" t="str">
        <f t="shared" si="25"/>
        <v>0</v>
      </c>
      <c r="O66" s="95" t="str">
        <f t="shared" si="26"/>
        <v>0</v>
      </c>
      <c r="P66" s="95" t="str">
        <f t="shared" si="27"/>
        <v>0</v>
      </c>
      <c r="Q66" s="95">
        <f>IF(AND(G66=T$12,LEN(G66)&gt;1),1,0)</f>
        <v>0</v>
      </c>
      <c r="R66" s="97">
        <f>Doubles!G$12</f>
        <v>11</v>
      </c>
      <c r="S66" s="95">
        <f>IF(AND(H66=H$12,LEN(H66)&gt;1,Q66=1),1,0)</f>
        <v>0</v>
      </c>
      <c r="V66" s="97">
        <f>VLOOKUP(11,R56:S79,2,0)</f>
        <v>0</v>
      </c>
      <c r="W66" s="95">
        <v>11</v>
      </c>
    </row>
    <row r="67" spans="1:23">
      <c r="A67" s="95">
        <v>12</v>
      </c>
      <c r="B67" s="95">
        <f>IF(Doubles!D75="",0,Doubles!D75)</f>
        <v>0</v>
      </c>
      <c r="C67" s="99" t="str">
        <f>IF(OR(LEFT(B67,LEN(B$13))=B$13,LEFT(B67,LEN(C$13))=C$13,LEN(B67)&lt;2),"",IF(B67="no pick","","Wrong pick"))</f>
        <v/>
      </c>
      <c r="E67" s="95">
        <f t="shared" si="20"/>
        <v>1</v>
      </c>
      <c r="G67" s="95" t="str">
        <f>IF(B67=0,"",IF(B67="no pick","No Pick",IF(LEFT(B67,LEN(B$13))=B$13,B$13,C$13)))</f>
        <v/>
      </c>
      <c r="H67" s="95" t="str">
        <f t="shared" si="21"/>
        <v>0-0</v>
      </c>
      <c r="J67" s="97">
        <f>D$13</f>
        <v>1</v>
      </c>
      <c r="K67" s="95" t="str">
        <f t="shared" si="22"/>
        <v>SR</v>
      </c>
      <c r="L67" s="95" t="str">
        <f t="shared" si="23"/>
        <v>0</v>
      </c>
      <c r="M67" s="95" t="str">
        <f t="shared" si="24"/>
        <v>0</v>
      </c>
      <c r="N67" s="95" t="str">
        <f t="shared" si="25"/>
        <v>0</v>
      </c>
      <c r="O67" s="95" t="str">
        <f t="shared" si="26"/>
        <v>0</v>
      </c>
      <c r="P67" s="95" t="str">
        <f t="shared" si="27"/>
        <v>0</v>
      </c>
      <c r="Q67" s="95">
        <f>IF(AND(G67=T$13,LEN(G67)&gt;1),1,0)</f>
        <v>0</v>
      </c>
      <c r="R67" s="97">
        <f>Doubles!G$13</f>
        <v>12</v>
      </c>
      <c r="S67" s="95">
        <f>IF(AND(H67=H$13,LEN(H67)&gt;1,Q67=1),1,0)</f>
        <v>0</v>
      </c>
      <c r="V67" s="97">
        <f>VLOOKUP(12,R56:S79,2,0)</f>
        <v>0</v>
      </c>
      <c r="W67" s="95">
        <v>12</v>
      </c>
    </row>
    <row r="68" spans="1:23">
      <c r="A68" s="95">
        <v>13</v>
      </c>
      <c r="B68" s="95">
        <f>IF(Doubles!D76="",0,Doubles!D76)</f>
        <v>0</v>
      </c>
      <c r="C68" s="99" t="str">
        <f>IF(OR(LEFT(B68,LEN(B$14))=B$14,LEFT(B68,LEN(C$14))=C$14,LEN(B68)&lt;2),"",IF(B68="no pick","","Wrong pick"))</f>
        <v/>
      </c>
      <c r="E68" s="95">
        <f t="shared" si="20"/>
        <v>1</v>
      </c>
      <c r="G68" s="95" t="str">
        <f>IF(B68=0,"",IF(B68="no pick","No Pick",IF(LEFT(B68,LEN(B$14))=B$14,B$14,C$14)))</f>
        <v/>
      </c>
      <c r="H68" s="95" t="str">
        <f t="shared" si="21"/>
        <v>0-0</v>
      </c>
      <c r="J68" s="97">
        <f>D$14</f>
        <v>1</v>
      </c>
      <c r="K68" s="95" t="str">
        <f t="shared" si="22"/>
        <v>SR</v>
      </c>
      <c r="L68" s="95" t="str">
        <f t="shared" si="23"/>
        <v>0</v>
      </c>
      <c r="M68" s="95" t="str">
        <f t="shared" si="24"/>
        <v>0</v>
      </c>
      <c r="N68" s="95" t="str">
        <f t="shared" si="25"/>
        <v>0</v>
      </c>
      <c r="O68" s="95" t="str">
        <f t="shared" si="26"/>
        <v>0</v>
      </c>
      <c r="P68" s="95" t="str">
        <f t="shared" si="27"/>
        <v>0</v>
      </c>
      <c r="Q68" s="95">
        <f>IF(AND(G68=T$14,LEN(G68)&gt;1),1,0)</f>
        <v>0</v>
      </c>
      <c r="R68" s="97">
        <f>Doubles!G$14</f>
        <v>13</v>
      </c>
      <c r="S68" s="95">
        <f>IF(AND(H68=H$14,LEN(H68)&gt;1,Q68=1),1,0)</f>
        <v>0</v>
      </c>
      <c r="V68" s="97">
        <f>VLOOKUP(13,R56:S79,2,0)</f>
        <v>0</v>
      </c>
      <c r="W68" s="95">
        <v>13</v>
      </c>
    </row>
    <row r="69" spans="1:23">
      <c r="A69" s="95">
        <v>14</v>
      </c>
      <c r="B69" s="95">
        <f>IF(Doubles!D77="",0,Doubles!D77)</f>
        <v>0</v>
      </c>
      <c r="C69" s="99" t="str">
        <f>IF(OR(LEFT(B69,LEN(B$15))=B$15,LEFT(B69,LEN(C$15))=C$15,LEN(B69)&lt;2),"",IF(B69="no pick","","Wrong pick"))</f>
        <v/>
      </c>
      <c r="E69" s="95">
        <f t="shared" si="20"/>
        <v>1</v>
      </c>
      <c r="G69" s="95" t="str">
        <f>IF(B69=0,"",IF(B69="no pick","No Pick",IF(LEFT(B69,LEN(B$15))=B$15,B$15,C$15)))</f>
        <v/>
      </c>
      <c r="H69" s="95" t="str">
        <f t="shared" si="21"/>
        <v>0-0</v>
      </c>
      <c r="J69" s="97">
        <f>D$15</f>
        <v>1</v>
      </c>
      <c r="K69" s="95" t="str">
        <f t="shared" si="22"/>
        <v>SR</v>
      </c>
      <c r="L69" s="95" t="str">
        <f t="shared" si="23"/>
        <v>0</v>
      </c>
      <c r="M69" s="95" t="str">
        <f t="shared" si="24"/>
        <v>0</v>
      </c>
      <c r="N69" s="95" t="str">
        <f t="shared" si="25"/>
        <v>0</v>
      </c>
      <c r="O69" s="95" t="str">
        <f t="shared" si="26"/>
        <v>0</v>
      </c>
      <c r="P69" s="95" t="str">
        <f t="shared" si="27"/>
        <v>0</v>
      </c>
      <c r="Q69" s="95">
        <f>IF(AND(G69=T$15,LEN(G69)&gt;1),1,0)</f>
        <v>0</v>
      </c>
      <c r="R69" s="97">
        <f>Doubles!G$15</f>
        <v>14</v>
      </c>
      <c r="S69" s="95">
        <f>IF(AND(H69=H$15,LEN(H69)&gt;1,Q69=1),1,0)</f>
        <v>0</v>
      </c>
      <c r="V69" s="97">
        <f>VLOOKUP(14,R56:S79,2,0)</f>
        <v>0</v>
      </c>
      <c r="W69" s="95">
        <v>14</v>
      </c>
    </row>
    <row r="70" spans="1:23">
      <c r="A70" s="95">
        <v>15</v>
      </c>
      <c r="B70" s="95">
        <f>IF(Doubles!D78="",0,Doubles!D78)</f>
        <v>0</v>
      </c>
      <c r="C70" s="99" t="str">
        <f>IF(OR(LEFT(B70,LEN(B$16))=B$16,LEFT(B70,LEN(C$16))=C$16,LEN(B70)&lt;2),"",IF(B70="no pick","","Wrong pick"))</f>
        <v/>
      </c>
      <c r="E70" s="95">
        <f t="shared" si="20"/>
        <v>1</v>
      </c>
      <c r="G70" s="95" t="str">
        <f>IF(B70=0,"",IF(B70="no pick","No Pick",IF(LEFT(B70,LEN(B$16))=B$16,B$16,C$16)))</f>
        <v/>
      </c>
      <c r="H70" s="95" t="str">
        <f t="shared" si="21"/>
        <v>0-0</v>
      </c>
      <c r="J70" s="97">
        <f>D$16</f>
        <v>1</v>
      </c>
      <c r="K70" s="95" t="str">
        <f t="shared" si="22"/>
        <v>SR</v>
      </c>
      <c r="L70" s="95" t="str">
        <f t="shared" si="23"/>
        <v>0</v>
      </c>
      <c r="M70" s="95" t="str">
        <f t="shared" si="24"/>
        <v>0</v>
      </c>
      <c r="N70" s="95" t="str">
        <f t="shared" si="25"/>
        <v>0</v>
      </c>
      <c r="O70" s="95" t="str">
        <f t="shared" si="26"/>
        <v>0</v>
      </c>
      <c r="P70" s="95" t="str">
        <f t="shared" si="27"/>
        <v>0</v>
      </c>
      <c r="Q70" s="95">
        <f>IF(AND(G70=T$16,LEN(G70)&gt;1),1,0)</f>
        <v>0</v>
      </c>
      <c r="R70" s="97">
        <f>Doubles!G$16</f>
        <v>15</v>
      </c>
      <c r="S70" s="95">
        <f>IF(AND(H70=H$16,LEN(H70)&gt;1,Q70=1),1,0)</f>
        <v>0</v>
      </c>
      <c r="V70" s="97">
        <f>VLOOKUP(15,R56:S79,2,0)</f>
        <v>0</v>
      </c>
      <c r="W70" s="95">
        <v>15</v>
      </c>
    </row>
    <row r="71" spans="1:23">
      <c r="A71" s="95">
        <v>16</v>
      </c>
      <c r="B71" s="95">
        <f>IF(Doubles!D79="",0,Doubles!D79)</f>
        <v>0</v>
      </c>
      <c r="C71" s="99" t="str">
        <f>IF(OR(LEFT(B71,LEN(B$17))=B$17,LEFT(B71,LEN(C$17))=C$17,LEN(B71)&lt;2),"",IF(B71="no pick","","Wrong pick"))</f>
        <v/>
      </c>
      <c r="E71" s="95">
        <f t="shared" si="20"/>
        <v>1</v>
      </c>
      <c r="G71" s="95" t="str">
        <f>IF(B71=0,"",IF(B71="no pick","No Pick",IF(LEFT(B71,LEN(B$17))=B$17,B$17,C$17)))</f>
        <v/>
      </c>
      <c r="H71" s="95" t="str">
        <f t="shared" si="21"/>
        <v>0-0</v>
      </c>
      <c r="J71" s="97">
        <f>D$17</f>
        <v>1</v>
      </c>
      <c r="K71" s="95" t="str">
        <f t="shared" si="22"/>
        <v>SR</v>
      </c>
      <c r="L71" s="95" t="str">
        <f t="shared" si="23"/>
        <v>0</v>
      </c>
      <c r="M71" s="95" t="str">
        <f t="shared" si="24"/>
        <v>0</v>
      </c>
      <c r="N71" s="95" t="str">
        <f t="shared" si="25"/>
        <v>0</v>
      </c>
      <c r="O71" s="95" t="str">
        <f t="shared" si="26"/>
        <v>0</v>
      </c>
      <c r="P71" s="95" t="str">
        <f t="shared" si="27"/>
        <v>0</v>
      </c>
      <c r="Q71" s="95">
        <f>IF(AND(G71=T$17,LEN(G71)&gt;1),1,0)</f>
        <v>0</v>
      </c>
      <c r="R71" s="97">
        <f>Doubles!G$17</f>
        <v>16</v>
      </c>
      <c r="S71" s="95">
        <f>IF(AND(H71=H$17,LEN(H71)&gt;1,Q71=1),1,0)</f>
        <v>0</v>
      </c>
      <c r="V71" s="97">
        <f>VLOOKUP(16,R56:S79,2,0)</f>
        <v>0</v>
      </c>
      <c r="W71" s="95">
        <v>16</v>
      </c>
    </row>
    <row r="72" spans="1:23">
      <c r="A72" s="95">
        <v>17</v>
      </c>
      <c r="B72" s="95">
        <f>IF(Doubles!D80="",0,Doubles!D80)</f>
        <v>0</v>
      </c>
      <c r="C72" s="99" t="str">
        <f>IF(OR(LEFT(B72,LEN(B$18))=B$18,LEFT(B72,LEN(C$18))=C$18,LEN(B72)&lt;2),"",IF(B72="no pick","","Wrong pick"))</f>
        <v/>
      </c>
      <c r="E72" s="95">
        <f t="shared" si="20"/>
        <v>0</v>
      </c>
      <c r="G72" s="95" t="str">
        <f>IF(B72=0,"",IF(B72="no pick","No Pick",IF(LEFT(B72,LEN(B$18))=B$18,B$18,C$18)))</f>
        <v/>
      </c>
      <c r="H72" s="95" t="str">
        <f t="shared" si="21"/>
        <v>0-0</v>
      </c>
      <c r="J72" s="95">
        <f>D$18</f>
        <v>0</v>
      </c>
      <c r="K72" s="95" t="str">
        <f t="shared" si="22"/>
        <v>SR</v>
      </c>
      <c r="L72" s="95" t="str">
        <f t="shared" si="23"/>
        <v>0</v>
      </c>
      <c r="M72" s="95" t="str">
        <f t="shared" si="24"/>
        <v>0</v>
      </c>
      <c r="N72" s="95" t="str">
        <f t="shared" si="25"/>
        <v>0</v>
      </c>
      <c r="O72" s="95" t="str">
        <f t="shared" si="26"/>
        <v>0</v>
      </c>
      <c r="P72" s="95" t="str">
        <f t="shared" si="27"/>
        <v>0</v>
      </c>
      <c r="Q72" s="95">
        <f>IF(AND(G72=T$18,LEN(G72)&gt;1),1,0)</f>
        <v>0</v>
      </c>
      <c r="R72" s="97">
        <f>Doubles!G$18</f>
        <v>17</v>
      </c>
      <c r="S72" s="95">
        <f>IF(AND(H72=H$18,LEN(H72)&gt;1,Q72=1),1,0)</f>
        <v>0</v>
      </c>
      <c r="V72" s="97">
        <f>VLOOKUP(17,R56:S79,2,0)</f>
        <v>0</v>
      </c>
      <c r="W72" s="95">
        <v>17</v>
      </c>
    </row>
    <row r="73" spans="1:23">
      <c r="A73" s="95">
        <v>18</v>
      </c>
      <c r="B73" s="95">
        <f>IF(Doubles!D81="",0,Doubles!D81)</f>
        <v>0</v>
      </c>
      <c r="C73" s="99" t="str">
        <f>IF(OR(LEFT(B73,LEN(B$19))=B$19,LEFT(B73,LEN(C$19))=C$19,LEN(B73)&lt;2),"",IF(B73="no pick","","Wrong pick"))</f>
        <v/>
      </c>
      <c r="E73" s="95">
        <f t="shared" si="20"/>
        <v>0</v>
      </c>
      <c r="G73" s="95" t="str">
        <f>IF(B73=0,"",IF(B73="no pick","No Pick",IF(LEFT(B73,LEN(B$19))=B$19,B$19,C$19)))</f>
        <v/>
      </c>
      <c r="H73" s="95" t="str">
        <f t="shared" si="21"/>
        <v>0-0</v>
      </c>
      <c r="J73" s="95">
        <f>D$19</f>
        <v>0</v>
      </c>
      <c r="K73" s="95" t="str">
        <f t="shared" si="22"/>
        <v>SR</v>
      </c>
      <c r="L73" s="95" t="str">
        <f t="shared" si="23"/>
        <v>0</v>
      </c>
      <c r="M73" s="95" t="str">
        <f t="shared" si="24"/>
        <v>0</v>
      </c>
      <c r="N73" s="95" t="str">
        <f t="shared" si="25"/>
        <v>0</v>
      </c>
      <c r="O73" s="95" t="str">
        <f t="shared" si="26"/>
        <v>0</v>
      </c>
      <c r="P73" s="95" t="str">
        <f t="shared" si="27"/>
        <v>0</v>
      </c>
      <c r="Q73" s="95">
        <f>IF(AND(G73=T$19,LEN(G73)&gt;1),1,0)</f>
        <v>0</v>
      </c>
      <c r="R73" s="97">
        <f>Doubles!G$19</f>
        <v>18</v>
      </c>
      <c r="S73" s="95">
        <f>IF(AND(H73=H$19,LEN(H73)&gt;1,Q73=1),1,0)</f>
        <v>0</v>
      </c>
      <c r="V73" s="97">
        <f>VLOOKUP(18,R56:S79,2,0)</f>
        <v>0</v>
      </c>
      <c r="W73" s="95">
        <v>18</v>
      </c>
    </row>
    <row r="74" spans="1:23">
      <c r="A74" s="95">
        <v>19</v>
      </c>
      <c r="B74" s="95">
        <f>IF(Doubles!D82="",0,Doubles!D82)</f>
        <v>0</v>
      </c>
      <c r="C74" s="99" t="str">
        <f>IF(OR(LEFT(B74,LEN(B$20))=B$20,LEFT(B74,LEN(C$20))=C$20,LEN(B74)&lt;2),"",IF(B74="no pick","","Wrong pick"))</f>
        <v/>
      </c>
      <c r="E74" s="95">
        <f t="shared" si="20"/>
        <v>0</v>
      </c>
      <c r="G74" s="95" t="str">
        <f>IF(B74=0,"",IF(B74="no pick","No Pick",IF(LEFT(B74,LEN(B$20))=B$20,B$20,C$20)))</f>
        <v/>
      </c>
      <c r="H74" s="95" t="str">
        <f t="shared" si="21"/>
        <v>0-0</v>
      </c>
      <c r="J74" s="95">
        <f>D$20</f>
        <v>0</v>
      </c>
      <c r="K74" s="95" t="str">
        <f t="shared" si="22"/>
        <v>SR</v>
      </c>
      <c r="L74" s="95" t="str">
        <f t="shared" si="23"/>
        <v>0</v>
      </c>
      <c r="M74" s="95" t="str">
        <f t="shared" si="24"/>
        <v>0</v>
      </c>
      <c r="N74" s="95" t="str">
        <f t="shared" si="25"/>
        <v>0</v>
      </c>
      <c r="O74" s="95" t="str">
        <f t="shared" si="26"/>
        <v>0</v>
      </c>
      <c r="P74" s="95" t="str">
        <f t="shared" si="27"/>
        <v>0</v>
      </c>
      <c r="Q74" s="95">
        <f>IF(AND(G74=T$20,LEN(G74)&gt;1),1,0)</f>
        <v>0</v>
      </c>
      <c r="R74" s="97">
        <f>Doubles!G$20</f>
        <v>19</v>
      </c>
      <c r="S74" s="95">
        <f>IF(AND(H74=H$20,LEN(H74)&gt;1,Q74=1),1,0)</f>
        <v>0</v>
      </c>
      <c r="V74" s="97">
        <f>VLOOKUP(19,R56:S79,2,0)</f>
        <v>0</v>
      </c>
      <c r="W74" s="95">
        <v>19</v>
      </c>
    </row>
    <row r="75" spans="1:23">
      <c r="A75" s="95">
        <v>20</v>
      </c>
      <c r="B75" s="95">
        <f>IF(Doubles!D83="",0,Doubles!D83)</f>
        <v>0</v>
      </c>
      <c r="C75" s="99" t="str">
        <f>IF(OR(LEFT(B75,LEN(B$21))=B$21,LEFT(B75,LEN(C$21))=C$21,LEN(B75)&lt;2),"",IF(B75="no pick","","Wrong pick"))</f>
        <v/>
      </c>
      <c r="E75" s="95">
        <f t="shared" si="20"/>
        <v>0</v>
      </c>
      <c r="G75" s="95" t="str">
        <f>IF(B75=0,"",IF(B75="no pick","No Pick",IF(LEFT(B75,LEN(B$21))=B$21,B$21,C$21)))</f>
        <v/>
      </c>
      <c r="H75" s="95" t="str">
        <f t="shared" si="21"/>
        <v>0-0</v>
      </c>
      <c r="J75" s="95">
        <f>D$21</f>
        <v>0</v>
      </c>
      <c r="K75" s="95" t="str">
        <f t="shared" si="22"/>
        <v>SR</v>
      </c>
      <c r="L75" s="95" t="str">
        <f t="shared" si="23"/>
        <v>0</v>
      </c>
      <c r="M75" s="95" t="str">
        <f t="shared" si="24"/>
        <v>0</v>
      </c>
      <c r="N75" s="95" t="str">
        <f t="shared" si="25"/>
        <v>0</v>
      </c>
      <c r="O75" s="95" t="str">
        <f t="shared" si="26"/>
        <v>0</v>
      </c>
      <c r="P75" s="95" t="str">
        <f t="shared" si="27"/>
        <v>0</v>
      </c>
      <c r="Q75" s="95">
        <f>IF(AND(G75=T$21,LEN(G75)&gt;1),1,0)</f>
        <v>0</v>
      </c>
      <c r="R75" s="97">
        <f>Doubles!G$21</f>
        <v>20</v>
      </c>
      <c r="S75" s="95">
        <f>IF(AND(H75=H$21,LEN(H75)&gt;1,Q75=1),1,0)</f>
        <v>0</v>
      </c>
      <c r="V75" s="97">
        <f>VLOOKUP(20,R56:S79,2,0)</f>
        <v>0</v>
      </c>
      <c r="W75" s="95">
        <v>20</v>
      </c>
    </row>
    <row r="76" spans="1:23">
      <c r="A76" s="95">
        <v>21</v>
      </c>
      <c r="B76" s="95">
        <f>IF(Doubles!D84="",0,Doubles!D84)</f>
        <v>0</v>
      </c>
      <c r="C76" s="99" t="str">
        <f>IF(OR(LEFT(B76,LEN(B$22))=B$22,LEFT(B76,LEN(C$22))=C$22,LEN(B76)&lt;2),"",IF(B76="no pick","","Wrong pick"))</f>
        <v/>
      </c>
      <c r="E76" s="95">
        <f t="shared" si="20"/>
        <v>0</v>
      </c>
      <c r="G76" s="95" t="str">
        <f>IF(B76=0,"",IF(B76="no pick","No Pick",IF(LEFT(B76,LEN(B$22))=B$22,B$22,C$22)))</f>
        <v/>
      </c>
      <c r="H76" s="95" t="str">
        <f t="shared" si="21"/>
        <v>0-0</v>
      </c>
      <c r="J76" s="95">
        <f>D$22</f>
        <v>0</v>
      </c>
      <c r="K76" s="95" t="str">
        <f t="shared" si="22"/>
        <v>SR</v>
      </c>
      <c r="L76" s="95" t="str">
        <f t="shared" si="23"/>
        <v>0</v>
      </c>
      <c r="M76" s="95" t="str">
        <f t="shared" si="24"/>
        <v>0</v>
      </c>
      <c r="N76" s="95" t="str">
        <f t="shared" si="25"/>
        <v>0</v>
      </c>
      <c r="O76" s="95" t="str">
        <f t="shared" si="26"/>
        <v>0</v>
      </c>
      <c r="P76" s="95" t="str">
        <f t="shared" si="27"/>
        <v>0</v>
      </c>
      <c r="Q76" s="95">
        <f>IF(AND(G76=T$22,LEN(G76)&gt;1),1,0)</f>
        <v>0</v>
      </c>
      <c r="R76" s="97">
        <f>Doubles!G$22</f>
        <v>21</v>
      </c>
      <c r="S76" s="95">
        <f>IF(AND(H76=H$22,LEN(H76)&gt;1,Q76=1),1,0)</f>
        <v>0</v>
      </c>
      <c r="V76" s="97">
        <f>VLOOKUP(21,R56:S79,2,0)</f>
        <v>0</v>
      </c>
      <c r="W76" s="95">
        <v>21</v>
      </c>
    </row>
    <row r="77" spans="1:23">
      <c r="A77" s="95">
        <v>22</v>
      </c>
      <c r="B77" s="95">
        <f>IF(Doubles!D85="",0,Doubles!D85)</f>
        <v>0</v>
      </c>
      <c r="C77" s="99" t="str">
        <f>IF(OR(LEFT(B77,LEN(B$23))=B$23,LEFT(B77,LEN(C$23))=C$23,LEN(B77)&lt;2),"",IF(B77="no pick","","Wrong pick"))</f>
        <v/>
      </c>
      <c r="E77" s="95">
        <f t="shared" si="20"/>
        <v>0</v>
      </c>
      <c r="G77" s="95" t="str">
        <f>IF(B77=0,"",IF(B77="no pick","No Pick",IF(LEFT(B77,LEN(B$23))=B$23,B$23,C$23)))</f>
        <v/>
      </c>
      <c r="H77" s="95" t="str">
        <f t="shared" si="21"/>
        <v>0-0</v>
      </c>
      <c r="J77" s="95">
        <f>D$23</f>
        <v>0</v>
      </c>
      <c r="K77" s="95" t="str">
        <f t="shared" si="22"/>
        <v>SR</v>
      </c>
      <c r="L77" s="95" t="str">
        <f t="shared" si="23"/>
        <v>0</v>
      </c>
      <c r="M77" s="95" t="str">
        <f t="shared" si="24"/>
        <v>0</v>
      </c>
      <c r="N77" s="95" t="str">
        <f t="shared" si="25"/>
        <v>0</v>
      </c>
      <c r="O77" s="95" t="str">
        <f t="shared" si="26"/>
        <v>0</v>
      </c>
      <c r="P77" s="95" t="str">
        <f t="shared" si="27"/>
        <v>0</v>
      </c>
      <c r="Q77" s="95">
        <f>IF(AND(G77=T$23,LEN(G77)&gt;1),1,0)</f>
        <v>0</v>
      </c>
      <c r="R77" s="97">
        <f>Doubles!G$23</f>
        <v>22</v>
      </c>
      <c r="S77" s="95">
        <f>IF(AND(H77=H$23,LEN(H77)&gt;1,Q77=1),1,0)</f>
        <v>0</v>
      </c>
      <c r="V77" s="97">
        <f>VLOOKUP(22,R56:S79,2,0)</f>
        <v>0</v>
      </c>
      <c r="W77" s="95">
        <v>22</v>
      </c>
    </row>
    <row r="78" spans="1:23">
      <c r="A78" s="95">
        <v>23</v>
      </c>
      <c r="B78" s="95">
        <f>IF(Doubles!D86="",0,Doubles!D86)</f>
        <v>0</v>
      </c>
      <c r="C78" s="99" t="str">
        <f>IF(OR(LEFT(B78,LEN(B$24))=B$24,LEFT(B78,LEN(C$24))=C$24,LEN(B78)&lt;2),"",IF(B78="no pick","","Wrong pick"))</f>
        <v/>
      </c>
      <c r="E78" s="95">
        <f t="shared" si="20"/>
        <v>0</v>
      </c>
      <c r="G78" s="95" t="str">
        <f>IF(B78=0,"",IF(B78="no pick","No Pick",IF(LEFT(B78,LEN(B$24))=B$24,B$24,C$24)))</f>
        <v/>
      </c>
      <c r="H78" s="95" t="str">
        <f t="shared" si="21"/>
        <v>0-0</v>
      </c>
      <c r="J78" s="95">
        <f>D$24</f>
        <v>0</v>
      </c>
      <c r="K78" s="95" t="str">
        <f t="shared" si="22"/>
        <v>SR</v>
      </c>
      <c r="L78" s="95" t="str">
        <f t="shared" si="23"/>
        <v>0</v>
      </c>
      <c r="M78" s="95" t="str">
        <f t="shared" si="24"/>
        <v>0</v>
      </c>
      <c r="N78" s="95" t="str">
        <f t="shared" si="25"/>
        <v>0</v>
      </c>
      <c r="O78" s="95" t="str">
        <f t="shared" si="26"/>
        <v>0</v>
      </c>
      <c r="P78" s="95" t="str">
        <f t="shared" si="27"/>
        <v>0</v>
      </c>
      <c r="Q78" s="95">
        <f>IF(AND(G78=T$24,LEN(G78)&gt;1),1,0)</f>
        <v>0</v>
      </c>
      <c r="R78" s="97">
        <f>Doubles!G$24</f>
        <v>23</v>
      </c>
      <c r="S78" s="95">
        <f>IF(AND(H78=H$24,LEN(H78)&gt;1,Q78=1),1,0)</f>
        <v>0</v>
      </c>
      <c r="V78" s="97">
        <f>VLOOKUP(23,R56:S79,2,0)</f>
        <v>0</v>
      </c>
      <c r="W78" s="95">
        <v>23</v>
      </c>
    </row>
    <row r="79" spans="1:23">
      <c r="A79" s="95">
        <v>24</v>
      </c>
      <c r="B79" s="95">
        <f>IF(Doubles!D87="",0,Doubles!D87)</f>
        <v>0</v>
      </c>
      <c r="C79" s="99" t="str">
        <f>IF(OR(LEFT(B79,LEN(B$25))=B$25,LEFT(B79,LEN(C$25))=C$25,LEN(B79)&lt;2),"",IF(B79="no pick","","Wrong pick"))</f>
        <v/>
      </c>
      <c r="E79" s="95">
        <f t="shared" si="20"/>
        <v>0</v>
      </c>
      <c r="G79" s="95" t="str">
        <f>IF(B79=0,"",IF(B79="no pick","No Pick",IF(LEFT(B79,LEN(B$25))=B$25,B$25,C$25)))</f>
        <v/>
      </c>
      <c r="H79" s="95" t="str">
        <f t="shared" si="21"/>
        <v>0-0</v>
      </c>
      <c r="J79" s="95">
        <f>D$25</f>
        <v>0</v>
      </c>
      <c r="K79" s="95" t="str">
        <f t="shared" si="22"/>
        <v>SR</v>
      </c>
      <c r="L79" s="95" t="str">
        <f t="shared" si="23"/>
        <v>0</v>
      </c>
      <c r="M79" s="95" t="str">
        <f t="shared" si="24"/>
        <v>0</v>
      </c>
      <c r="N79" s="95" t="str">
        <f t="shared" si="25"/>
        <v>0</v>
      </c>
      <c r="O79" s="95" t="str">
        <f t="shared" si="26"/>
        <v>0</v>
      </c>
      <c r="P79" s="95" t="str">
        <f t="shared" si="27"/>
        <v>0</v>
      </c>
      <c r="Q79" s="95">
        <f>IF(AND(G79=T$25,LEN(G79)&gt;1),1,0)</f>
        <v>0</v>
      </c>
      <c r="R79" s="97">
        <f>Doubles!G$25</f>
        <v>24</v>
      </c>
      <c r="S79" s="95">
        <f>IF(AND(H79=H$25,LEN(H79)&gt;1,Q79=1),1,0)</f>
        <v>0</v>
      </c>
      <c r="V79" s="97">
        <f>VLOOKUP(24,R56:S79,2,0)</f>
        <v>0</v>
      </c>
      <c r="W79" s="95">
        <v>24</v>
      </c>
    </row>
    <row r="80" spans="1:23">
      <c r="L80" s="98" t="s">
        <v>120</v>
      </c>
      <c r="W80" s="95">
        <v>25</v>
      </c>
    </row>
    <row r="81" spans="1:29">
      <c r="A81" s="95">
        <f>IF(LEN(VLOOKUP(B81,Doubles!$B$2:$D$17,3,0))&gt;0,VLOOKUP(B81,Doubles!$B$2:$D$17,3,0),"")</f>
        <v>1</v>
      </c>
      <c r="B81" s="96" t="str">
        <f>Doubles!C63</f>
        <v>A_Skywalker</v>
      </c>
      <c r="C81" s="96">
        <v>3</v>
      </c>
      <c r="D81" s="95" t="str">
        <f>VLOOKUP(B81,Doubles!$B$2:$F$17,5,0)</f>
        <v>BUL</v>
      </c>
      <c r="J81" s="95" t="s">
        <v>88</v>
      </c>
      <c r="Q81" s="95" t="s">
        <v>121</v>
      </c>
      <c r="S81" s="95" t="s">
        <v>122</v>
      </c>
      <c r="T81" s="95" t="str">
        <f>B81</f>
        <v>A_Skywalker</v>
      </c>
      <c r="V81" s="95" t="s">
        <v>122</v>
      </c>
    </row>
    <row r="82" spans="1:29">
      <c r="A82" s="95">
        <v>1</v>
      </c>
      <c r="B82" s="95">
        <f>IF(Doubles!C64="",0,Doubles!C64)</f>
        <v>0</v>
      </c>
      <c r="C82" s="99" t="str">
        <f>IF(OR(LEFT(B82,LEN(B$2))=B$2,LEFT(B82,LEN(C$2))=C$2,LEN(B82)&lt;2),"",IF(B82="no pick","","Wrong pick"))</f>
        <v/>
      </c>
      <c r="D82" s="95">
        <f t="shared" ref="D82:D105" si="28">IF(G82=G108,0,1)</f>
        <v>0</v>
      </c>
      <c r="E82" s="95">
        <f t="shared" ref="E82:E105" si="29">IF(AND($I$2=J82,B82=0),1,0)</f>
        <v>1</v>
      </c>
      <c r="F82" s="95" t="str">
        <f>IF(AND(SUM(E82:E105)=$I$4,NOT(B81="Bye")),"Missing picks from "&amp;B81&amp;" ","")</f>
        <v xml:space="preserve">Missing picks from A_Skywalker </v>
      </c>
      <c r="G82" s="95" t="str">
        <f>IF(B82=0,"",IF(B82="no pick","No Pick",IF(LEFT(B82,LEN(B$2))=B$2,B$2,C$2)))</f>
        <v/>
      </c>
      <c r="H82" s="95" t="str">
        <f t="shared" ref="H82:H105" si="30">IF(L82="","",IF(K82="PTS",IF(LEN(O82)&lt;8,"2-0","2-1"),LEFT(O82,1)&amp;"-"&amp;RIGHT(O82,1)))</f>
        <v>0-0</v>
      </c>
      <c r="I82" s="95" t="str">
        <f>IF(AND(J82=$I$2,F$2=0,NOT(E$2="")),IF(OR(AND(Y82=AA82,Z82=AB82),AND(Y82=AB82,Z82=AA82)),"",IF(AND(Y82=Z82,AA82=AB82),Y82&amp;" +2 v. "&amp;AA82&amp;" +2, ",IF(Y82=AA82,Z82&amp;" v. "&amp;AB82&amp;", ",IF(Z82=AB82,Y82&amp;" v. "&amp;AA82&amp;", ",IF(Y82=AB82,Z82&amp;" v. "&amp;AA82&amp;", ",IF(Z82=AA82,Y82&amp;" v. "&amp;AB82&amp;", ",Y82&amp;" v. "&amp;AA82&amp;", "&amp;Z82&amp;" v. "&amp;AB82&amp;", ")))))),"")</f>
        <v/>
      </c>
      <c r="J82" s="97">
        <f>D$2</f>
        <v>1</v>
      </c>
      <c r="K82" s="95" t="str">
        <f t="shared" ref="K82:K105" si="31">IF(LEN(L82)&gt;0,IF(LEN(O82)&lt;4,"SR","PTS"),"")</f>
        <v>SR</v>
      </c>
      <c r="L82" s="95" t="str">
        <f t="shared" ref="L82:L105" si="32">TRIM(RIGHT(B82,LEN(B82)-LEN(G82)))</f>
        <v>0</v>
      </c>
      <c r="M82" s="95" t="str">
        <f t="shared" ref="M82:M105" si="33">SUBSTITUTE(L82,"-","")</f>
        <v>0</v>
      </c>
      <c r="N82" s="95" t="str">
        <f t="shared" ref="N82:N105" si="34">SUBSTITUTE(M82,","," ")</f>
        <v>0</v>
      </c>
      <c r="O82" s="95" t="str">
        <f t="shared" ref="O82:O105" si="35">IF(AND(LEN(TRIM(SUBSTITUTE(P82,"/","")))&gt;6,OR(LEFT(TRIM(SUBSTITUTE(P82,"/","")),2)="20",LEFT(TRIM(SUBSTITUTE(P82,"/","")),2)="21")),RIGHT(TRIM(SUBSTITUTE(P82,"/","")),LEN(TRIM(SUBSTITUTE(P82,"/","")))-3),TRIM(SUBSTITUTE(P82,"/","")))</f>
        <v>0</v>
      </c>
      <c r="P82" s="95" t="str">
        <f t="shared" ref="P82:P105" si="36">SUBSTITUTE(N82,":","")</f>
        <v>0</v>
      </c>
      <c r="Q82" s="95">
        <f>IF(AND(G82=T$2,LEN(G82)&gt;1),1,0)</f>
        <v>0</v>
      </c>
      <c r="R82" s="97">
        <f>Doubles!G$2</f>
        <v>1</v>
      </c>
      <c r="S82" s="95">
        <f>IF(AND(H82=H$2,LEN(H82)&gt;1,Q82=1),1,0)</f>
        <v>0</v>
      </c>
      <c r="T82" s="95" t="str">
        <f>" SR Differences: "&amp;IF(LEN(I82&amp;I83&amp;I84&amp;I85&amp;I86&amp;I87&amp;I88&amp;I89&amp;I90&amp;I91&amp;I92&amp;I93&amp;I94&amp;I95&amp;I96&amp;I97)&lt;3,"None..",I82&amp;I83&amp;I84&amp;I85&amp;I86&amp;I87&amp;I88&amp;I89&amp;I90&amp;I91&amp;I92&amp;I93&amp;I94&amp;I95&amp;I96&amp;I97)</f>
        <v xml:space="preserve"> SR Differences: None..</v>
      </c>
      <c r="V82" s="97">
        <f>VLOOKUP(1,R82:S105,2,0)</f>
        <v>0</v>
      </c>
      <c r="W82" s="95" t="str">
        <f t="shared" ref="W82:W105" si="37">IF(J30=$I$2,IF(OR(G30&amp;G82=G56&amp;G108,G30&amp;G82=G108&amp;G56),"",IF(G56=G108,G56,IF(OR(G30=G56,G56=G82),G108,IF(OR(G108=G30,G82=G108),G56,G56&amp;", "&amp;G108)))),"")</f>
        <v/>
      </c>
      <c r="X82" s="95">
        <f>IF(F$2=0,IF(AND(G56=G108,NOT(G30=G56),NOT(G82=G108),LEN(W30)&gt;0),2,IF(LEN(W30)=0,0,1)),0)</f>
        <v>1</v>
      </c>
      <c r="AC82" s="95" t="str">
        <f>IF(AND(LEN(W82)&gt;0,F$2=0),IF(X82=2,W82&amp;" +2, ",W82&amp;", "),"")</f>
        <v/>
      </c>
    </row>
    <row r="83" spans="1:29">
      <c r="A83" s="95">
        <v>2</v>
      </c>
      <c r="B83" s="95">
        <f>IF(Doubles!C65="",0,Doubles!C65)</f>
        <v>0</v>
      </c>
      <c r="C83" s="99" t="str">
        <f>IF(OR(LEFT(B83,LEN(B$3))=B$3,LEFT(B83,LEN(C$3))=C$3,LEN(B83)&lt;2),"",IF(B83="no pick","","Wrong pick"))</f>
        <v/>
      </c>
      <c r="D83" s="95">
        <f t="shared" si="28"/>
        <v>0</v>
      </c>
      <c r="E83" s="95">
        <f t="shared" si="29"/>
        <v>1</v>
      </c>
      <c r="G83" s="95" t="str">
        <f>IF(B83=0,"",IF(B83="no pick","No Pick",IF(LEFT(B83,LEN(B$3))=B$3,B$3,C$3)))</f>
        <v/>
      </c>
      <c r="H83" s="95" t="str">
        <f t="shared" si="30"/>
        <v>0-0</v>
      </c>
      <c r="I83" s="95" t="str">
        <f>IF(AND(J83=$I$2,F$3=0,NOT(E$3="")),IF(OR(AND(Y83=AA83,Z83=AB83),AND(Y83=AB83,Z83=AA83)),"",IF(AND(Y83=Z83,AA83=AB83),Y83&amp;" +2 v. "&amp;AA83&amp;" +2, ",IF(Y83=AA83,Z83&amp;" v. "&amp;AB83&amp;", ",IF(Z83=AB83,Y83&amp;" v. "&amp;AA83&amp;", ",IF(Y83=AB83,Z83&amp;" v. "&amp;AA83&amp;", ",IF(Z83=AA83,Y83&amp;" v. "&amp;AB83&amp;", ",Y83&amp;" v. "&amp;AA83&amp;", "&amp;Z83&amp;" v. "&amp;AB83&amp;", ")))))),"")</f>
        <v/>
      </c>
      <c r="J83" s="97">
        <f>D$3</f>
        <v>1</v>
      </c>
      <c r="K83" s="95" t="str">
        <f t="shared" si="31"/>
        <v>SR</v>
      </c>
      <c r="L83" s="95" t="str">
        <f t="shared" si="32"/>
        <v>0</v>
      </c>
      <c r="M83" s="95" t="str">
        <f t="shared" si="33"/>
        <v>0</v>
      </c>
      <c r="N83" s="95" t="str">
        <f t="shared" si="34"/>
        <v>0</v>
      </c>
      <c r="O83" s="95" t="str">
        <f t="shared" si="35"/>
        <v>0</v>
      </c>
      <c r="P83" s="95" t="str">
        <f t="shared" si="36"/>
        <v>0</v>
      </c>
      <c r="Q83" s="95">
        <f>IF(AND(G83=T$3,LEN(G83)&gt;1),1,0)</f>
        <v>0</v>
      </c>
      <c r="R83" s="97">
        <f>Doubles!G$3</f>
        <v>2</v>
      </c>
      <c r="S83" s="95">
        <f>IF(AND(H83=H$3,LEN(H83)&gt;1,Q83=1),1,0)</f>
        <v>0</v>
      </c>
      <c r="T83" s="95" t="str">
        <f>IF(T84&gt;0,LEFT(E82,LEN(E82)-2)&amp;" vs. "&amp;LEFT(E108,LEN(E108)-2),"Same winners;")</f>
        <v>Same winners;</v>
      </c>
      <c r="V83" s="97">
        <f>VLOOKUP(2,R82:S105,2,0)</f>
        <v>0</v>
      </c>
      <c r="W83" s="95" t="str">
        <f t="shared" si="37"/>
        <v/>
      </c>
      <c r="X83" s="95">
        <f>IF(F$3=0,IF(AND(G57=G109,NOT(G31=G57),NOT(G83=G109),LEN(W31)&gt;0),2,IF(LEN(W31)=0,0,1)),0)</f>
        <v>1</v>
      </c>
      <c r="AC83" s="95" t="str">
        <f>IF(AND(LEN(W83)&gt;0,F$3=0),IF(X83=2,W83&amp;" +2, ",W83&amp;", "),"")</f>
        <v/>
      </c>
    </row>
    <row r="84" spans="1:29">
      <c r="A84" s="95">
        <v>3</v>
      </c>
      <c r="B84" s="95">
        <f>IF(Doubles!C66="",0,Doubles!C66)</f>
        <v>0</v>
      </c>
      <c r="C84" s="99" t="str">
        <f>IF(OR(LEFT(B84,LEN(B$4))=B$4,LEFT(B84,LEN(C$4))=C$4,LEN(B84)&lt;2),"",IF(B84="no pick","","Wrong pick"))</f>
        <v/>
      </c>
      <c r="D84" s="95">
        <f t="shared" si="28"/>
        <v>0</v>
      </c>
      <c r="E84" s="95">
        <f t="shared" si="29"/>
        <v>1</v>
      </c>
      <c r="G84" s="95" t="str">
        <f>IF(B84=0,"",IF(B84="no pick","No Pick",IF(LEFT(B84,LEN(B$4))=B$4,B$4,C$4)))</f>
        <v/>
      </c>
      <c r="H84" s="95" t="str">
        <f t="shared" si="30"/>
        <v>0-0</v>
      </c>
      <c r="I84" s="95" t="str">
        <f>IF(AND(J84=$I$2,F$4=0,NOT(E$4="")),IF(OR(AND(Y84=AA84,Z84=AB84),AND(Y84=AB84,Z84=AA84)),"",IF(AND(Y84=Z84,AA84=AB84),Y84&amp;" +2 v. "&amp;AA84&amp;" +2, ",IF(Y84=AA84,Z84&amp;" v. "&amp;AB84&amp;", ",IF(Z84=AB84,Y84&amp;" v. "&amp;AA84&amp;", ",IF(Y84=AB84,Z84&amp;" v. "&amp;AA84&amp;", ",IF(Z84=AA84,Y84&amp;" v. "&amp;AB84&amp;", ",Y84&amp;" v. "&amp;AA84&amp;", "&amp;Z84&amp;" v. "&amp;AB84&amp;", ")))))),"")</f>
        <v/>
      </c>
      <c r="J84" s="97">
        <f>D$4</f>
        <v>1</v>
      </c>
      <c r="K84" s="95" t="str">
        <f t="shared" si="31"/>
        <v>SR</v>
      </c>
      <c r="L84" s="95" t="str">
        <f t="shared" si="32"/>
        <v>0</v>
      </c>
      <c r="M84" s="95" t="str">
        <f t="shared" si="33"/>
        <v>0</v>
      </c>
      <c r="N84" s="95" t="str">
        <f t="shared" si="34"/>
        <v>0</v>
      </c>
      <c r="O84" s="95" t="str">
        <f t="shared" si="35"/>
        <v>0</v>
      </c>
      <c r="P84" s="95" t="str">
        <f t="shared" si="36"/>
        <v>0</v>
      </c>
      <c r="Q84" s="95">
        <f>IF(AND(G84=T$4,LEN(G84)&gt;1),1,0)</f>
        <v>0</v>
      </c>
      <c r="R84" s="97">
        <f>Doubles!G$4</f>
        <v>3</v>
      </c>
      <c r="S84" s="95">
        <f>IF(AND(H84=H$4,LEN(H84)&gt;1,Q84=1),1,0)</f>
        <v>0</v>
      </c>
      <c r="T84" s="101">
        <f>SUMIF(J82:J97,$I$2,D82:D97)</f>
        <v>0</v>
      </c>
      <c r="V84" s="97">
        <f>VLOOKUP(3,R82:S105,2,0)</f>
        <v>0</v>
      </c>
      <c r="W84" s="95" t="str">
        <f t="shared" si="37"/>
        <v/>
      </c>
      <c r="X84" s="95">
        <f>IF(F$4=0,IF(AND(G58=G110,NOT(G32=G58),NOT(G84=G110),LEN(W32)&gt;0),2,IF(LEN(W32)=0,0,1)),0)</f>
        <v>1</v>
      </c>
      <c r="AC84" s="95" t="str">
        <f>IF(AND(LEN(W84)&gt;0,F$4=0),IF(X84=2,W84&amp;" +2, ",W84&amp;", "),"")</f>
        <v/>
      </c>
    </row>
    <row r="85" spans="1:29">
      <c r="A85" s="95">
        <v>4</v>
      </c>
      <c r="B85" s="95">
        <f>IF(Doubles!C67="",0,Doubles!C67)</f>
        <v>0</v>
      </c>
      <c r="C85" s="99" t="str">
        <f>IF(OR(LEFT(B85,LEN(B$5))=B$5,LEFT(B85,LEN(C$5))=C$5,LEN(B85)&lt;2),"",IF(B85="no pick","","Wrong pick"))</f>
        <v/>
      </c>
      <c r="D85" s="95">
        <f t="shared" si="28"/>
        <v>0</v>
      </c>
      <c r="E85" s="95">
        <f t="shared" si="29"/>
        <v>1</v>
      </c>
      <c r="G85" s="95" t="str">
        <f>IF(B85=0,"",IF(B85="no pick","No Pick",IF(LEFT(B85,LEN(B$5))=B$5,B$5,C$5)))</f>
        <v/>
      </c>
      <c r="H85" s="95" t="str">
        <f t="shared" si="30"/>
        <v>0-0</v>
      </c>
      <c r="I85" s="95" t="str">
        <f>IF(AND(J85=$I$2,F$5=0,NOT(E$5="")),IF(OR(AND(Y85=AA85,Z85=AB85),AND(Y85=AB85,Z85=AA85)),"",IF(AND(Y85=Z85,AA85=AB85),Y85&amp;" +2 v. "&amp;AA85&amp;" +2, ",IF(Y85=AA85,Z85&amp;" v. "&amp;AB85&amp;", ",IF(Z85=AB85,Y85&amp;" v. "&amp;AA85&amp;", ",IF(Y85=AB85,Z85&amp;" v. "&amp;AA85&amp;", ",IF(Z85=AA85,Y85&amp;" v. "&amp;AB85&amp;", ",Y85&amp;" v. "&amp;AA85&amp;", "&amp;Z85&amp;" v. "&amp;AB85&amp;", ")))))),"")</f>
        <v/>
      </c>
      <c r="J85" s="97">
        <f>D$5</f>
        <v>1</v>
      </c>
      <c r="K85" s="95" t="str">
        <f t="shared" si="31"/>
        <v>SR</v>
      </c>
      <c r="L85" s="95" t="str">
        <f t="shared" si="32"/>
        <v>0</v>
      </c>
      <c r="M85" s="95" t="str">
        <f t="shared" si="33"/>
        <v>0</v>
      </c>
      <c r="N85" s="95" t="str">
        <f t="shared" si="34"/>
        <v>0</v>
      </c>
      <c r="O85" s="95" t="str">
        <f t="shared" si="35"/>
        <v>0</v>
      </c>
      <c r="P85" s="95" t="str">
        <f t="shared" si="36"/>
        <v>0</v>
      </c>
      <c r="Q85" s="95">
        <f>IF(AND(G85=T$5,LEN(G85)&gt;1),1,0)</f>
        <v>0</v>
      </c>
      <c r="R85" s="97">
        <f>Doubles!G$5</f>
        <v>4</v>
      </c>
      <c r="S85" s="95">
        <f>IF(AND(H85=H$5,LEN(H85)&gt;1,Q85=1),1,0)</f>
        <v>0</v>
      </c>
      <c r="U85" s="95" t="str">
        <f>AC30&amp;AC31&amp;AC32&amp;AC33&amp;AC34&amp;AC35&amp;AC36&amp;AC37&amp;AC38&amp;AC39&amp;AC40&amp;AC41&amp;AC42&amp;AC43&amp;AC44&amp;AC45&amp;AC46&amp;AC47&amp;AC48&amp;AC49&amp;AC50&amp;AC51&amp;AC52&amp;AC53</f>
        <v xml:space="preserve">Ghem, Machado, Junqueira, Laranja, PODLIPBIK-CASTILLO, Lindell, Michon, gonzalez, pereira, collinari, giner, galdon, lobkov, santos, santos, lojda, </v>
      </c>
      <c r="V85" s="97">
        <f>VLOOKUP(4,R82:S105,2,0)</f>
        <v>0</v>
      </c>
      <c r="W85" s="95" t="str">
        <f t="shared" si="37"/>
        <v/>
      </c>
      <c r="X85" s="95">
        <f>IF(F$5=0,IF(AND(G59=G111,NOT(G33=G59),NOT(G85=G111),LEN(W33)&gt;0),2,IF(LEN(W33)=0,0,1)),0)</f>
        <v>1</v>
      </c>
      <c r="AC85" s="95" t="str">
        <f>IF(AND(LEN(W85)&gt;0,F$5=0),IF(X85=2,W85&amp;" +2, ",W85&amp;", "),"")</f>
        <v/>
      </c>
    </row>
    <row r="86" spans="1:29">
      <c r="A86" s="95">
        <v>5</v>
      </c>
      <c r="B86" s="95">
        <f>IF(Doubles!C68="",0,Doubles!C68)</f>
        <v>0</v>
      </c>
      <c r="C86" s="99" t="str">
        <f>IF(OR(LEFT(B86,LEN(B$6))=B$6,LEFT(B86,LEN(C$6))=C$6,LEN(B86)&lt;2),"",IF(B86="no pick","","Wrong pick"))</f>
        <v/>
      </c>
      <c r="D86" s="95">
        <f t="shared" si="28"/>
        <v>0</v>
      </c>
      <c r="E86" s="95">
        <f t="shared" si="29"/>
        <v>1</v>
      </c>
      <c r="G86" s="95" t="str">
        <f>IF(B86=0,"",IF(B86="no pick","No Pick",IF(LEFT(B86,LEN(B$6))=B$6,B$6,C$6)))</f>
        <v/>
      </c>
      <c r="H86" s="95" t="str">
        <f t="shared" si="30"/>
        <v>0-0</v>
      </c>
      <c r="I86" s="95" t="str">
        <f>IF(AND(J86=$I$2,F$6=0,NOT(E$6="")),IF(OR(AND(Y86=AA86,Z86=AB86),AND(Y86=AB86,Z86=AA86)),"",IF(AND(Y86=Z86,AA86=AB86),Y86&amp;" +2 v. "&amp;AA86&amp;" +2, ",IF(Y86=AA86,Z86&amp;" v. "&amp;AB86&amp;", ",IF(Z86=AB86,Y86&amp;" v. "&amp;AA86&amp;", ",IF(Y86=AB86,Z86&amp;" v. "&amp;AA86&amp;", ",IF(Z86=AA86,Y86&amp;" v. "&amp;AB86&amp;", ",Y86&amp;" v. "&amp;AA86&amp;", "&amp;Z86&amp;" v. "&amp;AB86&amp;", ")))))),"")</f>
        <v/>
      </c>
      <c r="J86" s="97">
        <f>D$6</f>
        <v>1</v>
      </c>
      <c r="K86" s="95" t="str">
        <f t="shared" si="31"/>
        <v>SR</v>
      </c>
      <c r="L86" s="95" t="str">
        <f t="shared" si="32"/>
        <v>0</v>
      </c>
      <c r="M86" s="95" t="str">
        <f t="shared" si="33"/>
        <v>0</v>
      </c>
      <c r="N86" s="95" t="str">
        <f t="shared" si="34"/>
        <v>0</v>
      </c>
      <c r="O86" s="95" t="str">
        <f t="shared" si="35"/>
        <v>0</v>
      </c>
      <c r="P86" s="95" t="str">
        <f t="shared" si="36"/>
        <v>0</v>
      </c>
      <c r="Q86" s="95">
        <f>IF(AND(G86=T$6,LEN(G86)&gt;1),1,0)</f>
        <v>0</v>
      </c>
      <c r="R86" s="97">
        <f>Doubles!G$6</f>
        <v>5</v>
      </c>
      <c r="S86" s="95">
        <f>IF(AND(H86=H$6,LEN(H86)&gt;1,Q86=1),1,0)</f>
        <v>0</v>
      </c>
      <c r="U86" s="95" t="str">
        <f>AC82&amp;AC83&amp;AC84&amp;AC85&amp;AC86&amp;AC87&amp;AC88&amp;AC89&amp;AC90&amp;AC91&amp;AC92&amp;AC93&amp;AC94&amp;AC95&amp;AC96&amp;AC97&amp;AC98&amp;AC99&amp;AC100&amp;AC101&amp;AC102&amp;AC103&amp;AC104&amp;AC105</f>
        <v/>
      </c>
      <c r="V86" s="97">
        <f>VLOOKUP(5,R82:S105,2,0)</f>
        <v>0</v>
      </c>
      <c r="W86" s="95" t="str">
        <f t="shared" si="37"/>
        <v/>
      </c>
      <c r="X86" s="95">
        <f>IF(F$6=0,IF(AND(G60=G112,NOT(G34=G60),NOT(G86=G112),LEN(W34)&gt;0),2,IF(LEN(W34)=0,0,1)),0)</f>
        <v>1</v>
      </c>
      <c r="AC86" s="95" t="str">
        <f>IF(AND(LEN(W86)&gt;0,F$6=0),IF(X86=2,W86&amp;" +2, ",W86&amp;", "),"")</f>
        <v/>
      </c>
    </row>
    <row r="87" spans="1:29">
      <c r="A87" s="95">
        <v>6</v>
      </c>
      <c r="B87" s="95">
        <f>IF(Doubles!C69="",0,Doubles!C69)</f>
        <v>0</v>
      </c>
      <c r="C87" s="99" t="str">
        <f>IF(OR(LEFT(B87,LEN(B$7))=B$7,LEFT(B87,LEN(C$7))=C$7,LEN(B87)&lt;2),"",IF(B87="no pick","","Wrong pick"))</f>
        <v/>
      </c>
      <c r="D87" s="95">
        <f t="shared" si="28"/>
        <v>0</v>
      </c>
      <c r="E87" s="95">
        <f t="shared" si="29"/>
        <v>1</v>
      </c>
      <c r="G87" s="95" t="str">
        <f>IF(B87=0,"",IF(B87="no pick","No Pick",IF(LEFT(B87,LEN(B$7))=B$7,B$7,C$7)))</f>
        <v/>
      </c>
      <c r="H87" s="95" t="str">
        <f t="shared" si="30"/>
        <v>0-0</v>
      </c>
      <c r="I87" s="95" t="str">
        <f>IF(AND(J87=$I$2,F$7=0,NOT(E$7="")),IF(OR(AND(Y87=AA87,Z87=AB87),AND(Y87=AB87,Z87=AA87)),"",IF(AND(Y87=Z87,AA87=AB87),Y87&amp;" +2 v. "&amp;AA87&amp;" +2, ",IF(Y87=AA87,Z87&amp;" v. "&amp;AB87&amp;", ",IF(Z87=AB87,Y87&amp;" v. "&amp;AA87&amp;", ",IF(Y87=AB87,Z87&amp;" v. "&amp;AA87&amp;", ",IF(Z87=AA87,Y87&amp;" v. "&amp;AB87&amp;", ",Y87&amp;" v. "&amp;AA87&amp;", "&amp;Z87&amp;" v. "&amp;AB87&amp;", ")))))),"")</f>
        <v/>
      </c>
      <c r="J87" s="97">
        <f>D$7</f>
        <v>1</v>
      </c>
      <c r="K87" s="95" t="str">
        <f t="shared" si="31"/>
        <v>SR</v>
      </c>
      <c r="L87" s="95" t="str">
        <f t="shared" si="32"/>
        <v>0</v>
      </c>
      <c r="M87" s="95" t="str">
        <f t="shared" si="33"/>
        <v>0</v>
      </c>
      <c r="N87" s="95" t="str">
        <f t="shared" si="34"/>
        <v>0</v>
      </c>
      <c r="O87" s="95" t="str">
        <f t="shared" si="35"/>
        <v>0</v>
      </c>
      <c r="P87" s="95" t="str">
        <f t="shared" si="36"/>
        <v>0</v>
      </c>
      <c r="Q87" s="95">
        <f>IF(AND(G87=T$7,LEN(G87)&gt;1),1,0)</f>
        <v>0</v>
      </c>
      <c r="R87" s="97">
        <f>Doubles!G$7</f>
        <v>6</v>
      </c>
      <c r="S87" s="95">
        <f>IF(AND(H87=H$7,LEN(H87)&gt;1,Q87=1),1,0)</f>
        <v>0</v>
      </c>
      <c r="T87" s="105">
        <f>SUM(Q82:Q105)</f>
        <v>0</v>
      </c>
      <c r="U87" s="97">
        <f>SUM(S82:S105)</f>
        <v>0</v>
      </c>
      <c r="V87" s="97">
        <f>VLOOKUP(6,R82:S105,2,0)</f>
        <v>0</v>
      </c>
      <c r="W87" s="95" t="str">
        <f t="shared" si="37"/>
        <v/>
      </c>
      <c r="X87" s="95">
        <f>IF(F$7=0,IF(AND(G61=G113,NOT(G35=G61),NOT(G87=G113),LEN(W35)&gt;0),2,IF(LEN(W35)=0,0,1)),0)</f>
        <v>1</v>
      </c>
      <c r="AC87" s="95" t="str">
        <f>IF(AND(LEN(W87)&gt;0,F$7=0),IF(X87=2,W87&amp;" +2, ",W87&amp;", "),"")</f>
        <v/>
      </c>
    </row>
    <row r="88" spans="1:29">
      <c r="A88" s="95">
        <v>7</v>
      </c>
      <c r="B88" s="95">
        <f>IF(Doubles!C70="",0,Doubles!C70)</f>
        <v>0</v>
      </c>
      <c r="C88" s="99" t="str">
        <f>IF(OR(LEFT(B88,LEN(B$8))=B$8,LEFT(B88,LEN(C$8))=C$8,LEN(B88)&lt;2),"",IF(B88="no pick","","Wrong pick"))</f>
        <v/>
      </c>
      <c r="D88" s="95">
        <f t="shared" si="28"/>
        <v>0</v>
      </c>
      <c r="E88" s="95">
        <f t="shared" si="29"/>
        <v>1</v>
      </c>
      <c r="G88" s="95" t="str">
        <f>IF(B88=0,"",IF(B88="no pick","No Pick",IF(LEFT(B88,LEN(B$8))=B$8,B$8,C$8)))</f>
        <v/>
      </c>
      <c r="H88" s="95" t="str">
        <f t="shared" si="30"/>
        <v>0-0</v>
      </c>
      <c r="I88" s="95" t="str">
        <f>IF(AND(J88=$I$2,F$8=0,NOT(E$8="")),IF(OR(AND(Y88=AA88,Z88=AB88),AND(Y88=AB88,Z88=AA88)),"",IF(AND(Y88=Z88,AA88=AB88),Y88&amp;" +2 v. "&amp;AA88&amp;" +2, ",IF(Y88=AA88,Z88&amp;" v. "&amp;AB88&amp;", ",IF(Z88=AB88,Y88&amp;" v. "&amp;AA88&amp;", ",IF(Y88=AB88,Z88&amp;" v. "&amp;AA88&amp;", ",IF(Z88=AA88,Y88&amp;" v. "&amp;AB88&amp;", ",Y88&amp;" v. "&amp;AA88&amp;", "&amp;Z88&amp;" v. "&amp;AB88&amp;", ")))))),"")</f>
        <v/>
      </c>
      <c r="J88" s="97">
        <f>D$8</f>
        <v>1</v>
      </c>
      <c r="K88" s="95" t="str">
        <f t="shared" si="31"/>
        <v>SR</v>
      </c>
      <c r="L88" s="95" t="str">
        <f t="shared" si="32"/>
        <v>0</v>
      </c>
      <c r="M88" s="95" t="str">
        <f t="shared" si="33"/>
        <v>0</v>
      </c>
      <c r="N88" s="95" t="str">
        <f t="shared" si="34"/>
        <v>0</v>
      </c>
      <c r="O88" s="95" t="str">
        <f t="shared" si="35"/>
        <v>0</v>
      </c>
      <c r="P88" s="95" t="str">
        <f t="shared" si="36"/>
        <v>0</v>
      </c>
      <c r="Q88" s="95">
        <f>IF(AND(G88=T$8,LEN(G88)&gt;1),1,0)</f>
        <v>0</v>
      </c>
      <c r="R88" s="97">
        <f>Doubles!G$8</f>
        <v>7</v>
      </c>
      <c r="S88" s="95">
        <f>IF(AND(H88=H$8,LEN(H88)&gt;1,Q88=1),1,0)</f>
        <v>0</v>
      </c>
      <c r="T88" s="105">
        <f>SUM(Q108:Q131)</f>
        <v>0</v>
      </c>
      <c r="U88" s="97">
        <f>SUM(S108:S131)</f>
        <v>0</v>
      </c>
      <c r="V88" s="97">
        <f>VLOOKUP(7,R82:S105,2,0)</f>
        <v>0</v>
      </c>
      <c r="W88" s="95" t="str">
        <f t="shared" si="37"/>
        <v/>
      </c>
      <c r="X88" s="95">
        <f>IF(F$8=0,IF(AND(G62=G114,NOT(G36=G62),NOT(G88=G114),LEN(W36)&gt;0),2,IF(LEN(W36)=0,0,1)),0)</f>
        <v>1</v>
      </c>
      <c r="AC88" s="95" t="str">
        <f>IF(AND(LEN(W88)&gt;0,F$8=0),IF(X88=2,W88&amp;" +2, ",W88&amp;", "),"")</f>
        <v/>
      </c>
    </row>
    <row r="89" spans="1:29">
      <c r="A89" s="95">
        <v>8</v>
      </c>
      <c r="B89" s="95">
        <f>IF(Doubles!C71="",0,Doubles!C71)</f>
        <v>0</v>
      </c>
      <c r="C89" s="99" t="str">
        <f>IF(OR(LEFT(B89,LEN(B$9))=B$9,LEFT(B89,LEN(C$9))=C$9,LEN(B89)&lt;2),"",IF(B89="no pick","","Wrong pick"))</f>
        <v/>
      </c>
      <c r="D89" s="95">
        <f t="shared" si="28"/>
        <v>0</v>
      </c>
      <c r="E89" s="95">
        <f t="shared" si="29"/>
        <v>1</v>
      </c>
      <c r="G89" s="95" t="str">
        <f>IF(B89=0,"",IF(B89="no pick","No Pick",IF(LEFT(B89,LEN(B$9))=B$9,B$9,C$9)))</f>
        <v/>
      </c>
      <c r="H89" s="95" t="str">
        <f t="shared" si="30"/>
        <v>0-0</v>
      </c>
      <c r="I89" s="95" t="str">
        <f>IF(AND(J89=$I$2,F$9=0,NOT(E$9="")),IF(OR(AND(Y89=AA89,Z89=AB89),AND(Y89=AB89,Z89=AA89)),"",IF(AND(Y89=Z89,AA89=AB89),Y89&amp;" +2 v. "&amp;AA89&amp;" +2, ",IF(Y89=AA89,Z89&amp;" v. "&amp;AB89&amp;", ",IF(Z89=AB89,Y89&amp;" v. "&amp;AA89&amp;", ",IF(Y89=AB89,Z89&amp;" v. "&amp;AA89&amp;", ",IF(Z89=AA89,Y89&amp;" v. "&amp;AB89&amp;", ",Y89&amp;" v. "&amp;AA89&amp;", "&amp;Z89&amp;" v. "&amp;AB89&amp;", ")))))),"")</f>
        <v/>
      </c>
      <c r="J89" s="97">
        <f>D$9</f>
        <v>1</v>
      </c>
      <c r="K89" s="95" t="str">
        <f t="shared" si="31"/>
        <v>SR</v>
      </c>
      <c r="L89" s="95" t="str">
        <f t="shared" si="32"/>
        <v>0</v>
      </c>
      <c r="M89" s="95" t="str">
        <f t="shared" si="33"/>
        <v>0</v>
      </c>
      <c r="N89" s="95" t="str">
        <f t="shared" si="34"/>
        <v>0</v>
      </c>
      <c r="O89" s="95" t="str">
        <f t="shared" si="35"/>
        <v>0</v>
      </c>
      <c r="P89" s="95" t="str">
        <f t="shared" si="36"/>
        <v>0</v>
      </c>
      <c r="Q89" s="95">
        <f>IF(AND(G89=T$9,LEN(G89)&gt;1),1,0)</f>
        <v>0</v>
      </c>
      <c r="R89" s="97">
        <f>Doubles!G$9</f>
        <v>8</v>
      </c>
      <c r="S89" s="95">
        <f>IF(AND(H89=H$9,LEN(H89)&gt;1,Q89=1),1,0)</f>
        <v>0</v>
      </c>
      <c r="V89" s="97">
        <f>VLOOKUP(8,R82:S105,2,0)</f>
        <v>0</v>
      </c>
      <c r="W89" s="95" t="str">
        <f t="shared" si="37"/>
        <v/>
      </c>
      <c r="X89" s="95">
        <f>IF(F$9=0,IF(AND(G63=G115,NOT(G37=G63),NOT(G89=G115),LEN(W37)&gt;0),2,IF(LEN(W37)=0,0,1)),0)</f>
        <v>1</v>
      </c>
      <c r="AC89" s="95" t="str">
        <f>IF(AND(LEN(W89)&gt;0,F$9=0),IF(X89=2,W89&amp;" +2, ",W89&amp;", "),"")</f>
        <v/>
      </c>
    </row>
    <row r="90" spans="1:29">
      <c r="A90" s="95">
        <v>9</v>
      </c>
      <c r="B90" s="95">
        <f>IF(Doubles!C72="",0,Doubles!C72)</f>
        <v>0</v>
      </c>
      <c r="C90" s="99" t="str">
        <f>IF(OR(LEFT(B90,LEN(B$10))=B$10,LEFT(B90,LEN(C$10))=C$10,LEN(B90)&lt;2),"",IF(B90="no pick","","Wrong pick"))</f>
        <v/>
      </c>
      <c r="D90" s="95">
        <f t="shared" si="28"/>
        <v>0</v>
      </c>
      <c r="E90" s="95">
        <f t="shared" si="29"/>
        <v>1</v>
      </c>
      <c r="G90" s="95" t="str">
        <f>IF(B90=0,"",IF(B90="no pick","No Pick",IF(LEFT(B90,LEN(B$10))=B$10,B$10,C$10)))</f>
        <v/>
      </c>
      <c r="H90" s="95" t="str">
        <f t="shared" si="30"/>
        <v>0-0</v>
      </c>
      <c r="I90" s="95" t="str">
        <f>IF(AND(J90=$I$2,F$10=0,NOT(E$10="")),IF(OR(AND(Y90=AA90,Z90=AB90),AND(Y90=AB90,Z90=AA90)),"",IF(AND(Y90=Z90,AA90=AB90),Y90&amp;" +2 v. "&amp;AA90&amp;" +2, ",IF(Y90=AA90,Z90&amp;" v. "&amp;AB90&amp;", ",IF(Z90=AB90,Y90&amp;" v. "&amp;AA90&amp;", ",IF(Y90=AB90,Z90&amp;" v. "&amp;AA90&amp;", ",IF(Z90=AA90,Y90&amp;" v. "&amp;AB90&amp;", ",Y90&amp;" v. "&amp;AA90&amp;", "&amp;Z90&amp;" v. "&amp;AB90&amp;", ")))))),"")</f>
        <v/>
      </c>
      <c r="J90" s="97">
        <f>D$10</f>
        <v>1</v>
      </c>
      <c r="K90" s="95" t="str">
        <f t="shared" si="31"/>
        <v>SR</v>
      </c>
      <c r="L90" s="95" t="str">
        <f t="shared" si="32"/>
        <v>0</v>
      </c>
      <c r="M90" s="95" t="str">
        <f t="shared" si="33"/>
        <v>0</v>
      </c>
      <c r="N90" s="95" t="str">
        <f t="shared" si="34"/>
        <v>0</v>
      </c>
      <c r="O90" s="95" t="str">
        <f t="shared" si="35"/>
        <v>0</v>
      </c>
      <c r="P90" s="95" t="str">
        <f t="shared" si="36"/>
        <v>0</v>
      </c>
      <c r="Q90" s="95">
        <f>IF(AND(G90=T$10,LEN(G90)&gt;1),1,0)</f>
        <v>0</v>
      </c>
      <c r="R90" s="97">
        <f>Doubles!G$10</f>
        <v>9</v>
      </c>
      <c r="S90" s="95">
        <f>IF(AND(H90=H$10,LEN(H90)&gt;1,Q90=1),1,0)</f>
        <v>0</v>
      </c>
      <c r="T90" s="97" t="e">
        <f>VLOOKUP("Winner",T108:U124,2,0)</f>
        <v>#N/A</v>
      </c>
      <c r="U90" s="95" t="e">
        <f>VLOOKUP(T90,U108:W124,3,0)</f>
        <v>#N/A</v>
      </c>
      <c r="V90" s="97">
        <f>VLOOKUP(9,R82:S105,2,0)</f>
        <v>0</v>
      </c>
      <c r="W90" s="95" t="str">
        <f t="shared" si="37"/>
        <v/>
      </c>
      <c r="X90" s="95">
        <f>IF(F$10=0,IF(AND(G64=G116,NOT(G38=G64),NOT(G90=G116),LEN(W38)&gt;0),2,IF(LEN(W38)=0,0,1)),0)</f>
        <v>1</v>
      </c>
      <c r="AC90" s="95" t="str">
        <f>IF(AND(LEN(W90)&gt;0,F$10=0),IF(X90=2,W90&amp;" +2, ",W90&amp;", "),"")</f>
        <v/>
      </c>
    </row>
    <row r="91" spans="1:29">
      <c r="A91" s="95">
        <v>10</v>
      </c>
      <c r="B91" s="95">
        <f>IF(Doubles!C73="",0,Doubles!C73)</f>
        <v>0</v>
      </c>
      <c r="C91" s="99" t="str">
        <f>IF(OR(LEFT(B91,LEN(B$11))=B$11,LEFT(B91,LEN(C$11))=C$11,LEN(B91)&lt;2),"",IF(B91="no pick","","Wrong pick"))</f>
        <v/>
      </c>
      <c r="D91" s="95">
        <f t="shared" si="28"/>
        <v>0</v>
      </c>
      <c r="E91" s="95">
        <f t="shared" si="29"/>
        <v>1</v>
      </c>
      <c r="G91" s="95" t="str">
        <f>IF(B91=0,"",IF(B91="no pick","No Pick",IF(LEFT(B91,LEN(B$11))=B$11,B$11,C$11)))</f>
        <v/>
      </c>
      <c r="H91" s="95" t="str">
        <f t="shared" si="30"/>
        <v>0-0</v>
      </c>
      <c r="I91" s="95" t="str">
        <f>IF(AND(J91=$I$2,F$11=0,NOT(E$11="")),IF(OR(AND(Y91=AA91,Z91=AB91),AND(Y91=AB91,Z91=AA91)),"",IF(AND(Y91=Z91,AA91=AB91),Y91&amp;" +2 v. "&amp;AA91&amp;" +2, ",IF(Y91=AA91,Z91&amp;" v. "&amp;AB91&amp;", ",IF(Z91=AB91,Y91&amp;" v. "&amp;AA91&amp;", ",IF(Y91=AB91,Z91&amp;" v. "&amp;AA91&amp;", ",IF(Z91=AA91,Y91&amp;" v. "&amp;AB91&amp;", ",Y91&amp;" v. "&amp;AA91&amp;", "&amp;Z91&amp;" v. "&amp;AB91&amp;", ")))))),"")</f>
        <v/>
      </c>
      <c r="J91" s="97">
        <f>D$11</f>
        <v>1</v>
      </c>
      <c r="K91" s="95" t="str">
        <f t="shared" si="31"/>
        <v>SR</v>
      </c>
      <c r="L91" s="95" t="str">
        <f t="shared" si="32"/>
        <v>0</v>
      </c>
      <c r="M91" s="95" t="str">
        <f t="shared" si="33"/>
        <v>0</v>
      </c>
      <c r="N91" s="95" t="str">
        <f t="shared" si="34"/>
        <v>0</v>
      </c>
      <c r="O91" s="95" t="str">
        <f t="shared" si="35"/>
        <v>0</v>
      </c>
      <c r="P91" s="95" t="str">
        <f t="shared" si="36"/>
        <v>0</v>
      </c>
      <c r="Q91" s="95">
        <f>IF(AND(G91=T$11,LEN(G91)&gt;1),1,0)</f>
        <v>0</v>
      </c>
      <c r="R91" s="97">
        <f>Doubles!G$11</f>
        <v>10</v>
      </c>
      <c r="S91" s="95">
        <f>IF(AND(H91=H$11,LEN(H91)&gt;1,Q91=1),1,0)</f>
        <v>0</v>
      </c>
      <c r="V91" s="97">
        <f>VLOOKUP(10,R82:S105,2,0)</f>
        <v>0</v>
      </c>
      <c r="W91" s="95" t="str">
        <f t="shared" si="37"/>
        <v/>
      </c>
      <c r="X91" s="95">
        <f>IF(F$11=0,IF(AND(G65=G117,NOT(G39=G65),NOT(G91=G117),LEN(W39)&gt;0),2,IF(LEN(W39)=0,0,1)),0)</f>
        <v>1</v>
      </c>
      <c r="AC91" s="95" t="str">
        <f>IF(AND(LEN(W91)&gt;0,F$11=0),IF(X91=2,W91&amp;" +2, ",W91&amp;", "),"")</f>
        <v/>
      </c>
    </row>
    <row r="92" spans="1:29">
      <c r="A92" s="95">
        <v>11</v>
      </c>
      <c r="B92" s="95">
        <f>IF(Doubles!C74="",0,Doubles!C74)</f>
        <v>0</v>
      </c>
      <c r="C92" s="99" t="str">
        <f>IF(OR(LEFT(B92,LEN(B$12))=B$12,LEFT(B92,LEN(C$12))=C$12,LEN(B92)&lt;2),"",IF(B92="no pick","","Wrong pick"))</f>
        <v/>
      </c>
      <c r="D92" s="95">
        <f t="shared" si="28"/>
        <v>0</v>
      </c>
      <c r="E92" s="95">
        <f t="shared" si="29"/>
        <v>1</v>
      </c>
      <c r="G92" s="95" t="str">
        <f>IF(B92=0,"",IF(B92="no pick","No Pick",IF(LEFT(B92,LEN(B$12))=B$12,B$12,C$12)))</f>
        <v/>
      </c>
      <c r="H92" s="95" t="str">
        <f t="shared" si="30"/>
        <v>0-0</v>
      </c>
      <c r="I92" s="95" t="str">
        <f>IF(AND(J92=$I$2,F$12=0,NOT(E$12="")),IF(OR(AND(Y92=AA92,Z92=AB92),AND(Y92=AB92,Z92=AA92)),"",IF(AND(Y92=Z92,AA92=AB92),Y92&amp;" +2 v. "&amp;AA92&amp;" +2, ",IF(Y92=AA92,Z92&amp;" v. "&amp;AB92&amp;", ",IF(Z92=AB92,Y92&amp;" v. "&amp;AA92&amp;", ",IF(Y92=AB92,Z92&amp;" v. "&amp;AA92&amp;", ",IF(Z92=AA92,Y92&amp;" v. "&amp;AB92&amp;", ",Y92&amp;" v. "&amp;AA92&amp;", "&amp;Z92&amp;" v. "&amp;AB92&amp;", ")))))),"")</f>
        <v/>
      </c>
      <c r="J92" s="97">
        <f>D$12</f>
        <v>1</v>
      </c>
      <c r="K92" s="95" t="str">
        <f t="shared" si="31"/>
        <v>SR</v>
      </c>
      <c r="L92" s="95" t="str">
        <f t="shared" si="32"/>
        <v>0</v>
      </c>
      <c r="M92" s="95" t="str">
        <f t="shared" si="33"/>
        <v>0</v>
      </c>
      <c r="N92" s="95" t="str">
        <f t="shared" si="34"/>
        <v>0</v>
      </c>
      <c r="O92" s="95" t="str">
        <f t="shared" si="35"/>
        <v>0</v>
      </c>
      <c r="P92" s="95" t="str">
        <f t="shared" si="36"/>
        <v>0</v>
      </c>
      <c r="Q92" s="95">
        <f>IF(AND(G92=T$12,LEN(G92)&gt;1),1,0)</f>
        <v>0</v>
      </c>
      <c r="R92" s="97">
        <f>Doubles!G$12</f>
        <v>11</v>
      </c>
      <c r="S92" s="95">
        <f>IF(AND(H92=H$12,LEN(H92)&gt;1,Q92=1),1,0)</f>
        <v>0</v>
      </c>
      <c r="V92" s="97">
        <f>VLOOKUP(11,R82:S105,2,0)</f>
        <v>0</v>
      </c>
      <c r="W92" s="95" t="str">
        <f t="shared" si="37"/>
        <v/>
      </c>
      <c r="X92" s="95">
        <f>IF(F$12=0,IF(AND(G66=G118,NOT(G40=G66),NOT(G92=G118),LEN(W40)&gt;0),2,IF(LEN(W40)=0,0,1)),0)</f>
        <v>1</v>
      </c>
      <c r="AC92" s="95" t="str">
        <f>IF(AND(LEN(W92)&gt;0,F$12=0),IF(X92=2,W92&amp;" +2, ",W92&amp;", "),"")</f>
        <v/>
      </c>
    </row>
    <row r="93" spans="1:29">
      <c r="A93" s="95">
        <v>12</v>
      </c>
      <c r="B93" s="95">
        <f>IF(Doubles!C75="",0,Doubles!C75)</f>
        <v>0</v>
      </c>
      <c r="C93" s="99" t="str">
        <f>IF(OR(LEFT(B93,LEN(B$13))=B$13,LEFT(B93,LEN(C$13))=C$13,LEN(B93)&lt;2),"",IF(B93="no pick","","Wrong pick"))</f>
        <v/>
      </c>
      <c r="D93" s="95">
        <f t="shared" si="28"/>
        <v>0</v>
      </c>
      <c r="E93" s="95">
        <f t="shared" si="29"/>
        <v>1</v>
      </c>
      <c r="G93" s="95" t="str">
        <f>IF(B93=0,"",IF(B93="no pick","No Pick",IF(LEFT(B93,LEN(B$13))=B$13,B$13,C$13)))</f>
        <v/>
      </c>
      <c r="H93" s="95" t="str">
        <f t="shared" si="30"/>
        <v>0-0</v>
      </c>
      <c r="I93" s="95" t="str">
        <f>IF(AND(J93=$I$2,F$13=0,NOT(E$13="")),IF(OR(AND(Y93=AA93,Z93=AB93),AND(Y93=AB93,Z93=AA93)),"",IF(AND(Y93=Z93,AA93=AB93),Y93&amp;" +2 v. "&amp;AA93&amp;" +2, ",IF(Y93=AA93,Z93&amp;" v. "&amp;AB93&amp;", ",IF(Z93=AB93,Y93&amp;" v. "&amp;AA93&amp;", ",IF(Y93=AB93,Z93&amp;" v. "&amp;AA93&amp;", ",IF(Z93=AA93,Y93&amp;" v. "&amp;AB93&amp;", ",Y93&amp;" v. "&amp;AA93&amp;", "&amp;Z93&amp;" v. "&amp;AB93&amp;", ")))))),"")</f>
        <v/>
      </c>
      <c r="J93" s="97">
        <f>D$13</f>
        <v>1</v>
      </c>
      <c r="K93" s="95" t="str">
        <f t="shared" si="31"/>
        <v>SR</v>
      </c>
      <c r="L93" s="95" t="str">
        <f t="shared" si="32"/>
        <v>0</v>
      </c>
      <c r="M93" s="95" t="str">
        <f t="shared" si="33"/>
        <v>0</v>
      </c>
      <c r="N93" s="95" t="str">
        <f t="shared" si="34"/>
        <v>0</v>
      </c>
      <c r="O93" s="95" t="str">
        <f t="shared" si="35"/>
        <v>0</v>
      </c>
      <c r="P93" s="95" t="str">
        <f t="shared" si="36"/>
        <v>0</v>
      </c>
      <c r="Q93" s="95">
        <f>IF(AND(G93=T$13,LEN(G93)&gt;1),1,0)</f>
        <v>0</v>
      </c>
      <c r="R93" s="97">
        <f>Doubles!G$13</f>
        <v>12</v>
      </c>
      <c r="S93" s="95">
        <f>IF(AND(H93=H$13,LEN(H93)&gt;1,Q93=1),1,0)</f>
        <v>0</v>
      </c>
      <c r="V93" s="97">
        <f>VLOOKUP(12,R82:S105,2,0)</f>
        <v>0</v>
      </c>
      <c r="W93" s="95" t="str">
        <f t="shared" si="37"/>
        <v/>
      </c>
      <c r="X93" s="95">
        <f>IF(F$13=0,IF(AND(G67=G119,NOT(G41=G67),NOT(G93=G119),LEN(W41)&gt;0),2,IF(LEN(W41)=0,0,1)),0)</f>
        <v>1</v>
      </c>
      <c r="AC93" s="95" t="str">
        <f>IF(AND(LEN(W93)&gt;0,F$13=0),IF(X93=2,W93&amp;" +2, ",W93&amp;", "),"")</f>
        <v/>
      </c>
    </row>
    <row r="94" spans="1:29">
      <c r="A94" s="95">
        <v>13</v>
      </c>
      <c r="B94" s="95">
        <f>IF(Doubles!C76="",0,Doubles!C76)</f>
        <v>0</v>
      </c>
      <c r="C94" s="99" t="str">
        <f>IF(OR(LEFT(B94,LEN(B$14))=B$14,LEFT(B94,LEN(C$14))=C$14,LEN(B94)&lt;2),"",IF(B94="no pick","","Wrong pick"))</f>
        <v/>
      </c>
      <c r="D94" s="95">
        <f t="shared" si="28"/>
        <v>0</v>
      </c>
      <c r="E94" s="95">
        <f t="shared" si="29"/>
        <v>1</v>
      </c>
      <c r="G94" s="95" t="str">
        <f>IF(B94=0,"",IF(B94="no pick","No Pick",IF(LEFT(B94,LEN(B$14))=B$14,B$14,C$14)))</f>
        <v/>
      </c>
      <c r="H94" s="95" t="str">
        <f t="shared" si="30"/>
        <v>0-0</v>
      </c>
      <c r="I94" s="95" t="str">
        <f>IF(AND(J94=$I$2,F$14=0,NOT(E$14="")),IF(OR(AND(Y94=AA94,Z94=AB94),AND(Y94=AB94,Z94=AA94)),"",IF(AND(Y94=Z94,AA94=AB94),Y94&amp;" +2 v. "&amp;AA94&amp;" +2, ",IF(Y94=AA94,Z94&amp;" v. "&amp;AB94&amp;", ",IF(Z94=AB94,Y94&amp;" v. "&amp;AA94&amp;", ",IF(Y94=AB94,Z94&amp;" v. "&amp;AA94&amp;", ",IF(Z94=AA94,Y94&amp;" v. "&amp;AB94&amp;", ",Y94&amp;" v. "&amp;AA94&amp;", "&amp;Z94&amp;" v. "&amp;AB94&amp;", ")))))),"")</f>
        <v/>
      </c>
      <c r="J94" s="97">
        <f>D$14</f>
        <v>1</v>
      </c>
      <c r="K94" s="95" t="str">
        <f t="shared" si="31"/>
        <v>SR</v>
      </c>
      <c r="L94" s="95" t="str">
        <f t="shared" si="32"/>
        <v>0</v>
      </c>
      <c r="M94" s="95" t="str">
        <f t="shared" si="33"/>
        <v>0</v>
      </c>
      <c r="N94" s="95" t="str">
        <f t="shared" si="34"/>
        <v>0</v>
      </c>
      <c r="O94" s="95" t="str">
        <f t="shared" si="35"/>
        <v>0</v>
      </c>
      <c r="P94" s="95" t="str">
        <f t="shared" si="36"/>
        <v>0</v>
      </c>
      <c r="Q94" s="95">
        <f>IF(AND(G94=T$14,LEN(G94)&gt;1),1,0)</f>
        <v>0</v>
      </c>
      <c r="R94" s="97">
        <f>Doubles!G$14</f>
        <v>13</v>
      </c>
      <c r="S94" s="95">
        <f>IF(AND(H94=H$14,LEN(H94)&gt;1,Q94=1),1,0)</f>
        <v>0</v>
      </c>
      <c r="V94" s="97">
        <f>VLOOKUP(13,R82:S105,2,0)</f>
        <v>0</v>
      </c>
      <c r="W94" s="95" t="str">
        <f t="shared" si="37"/>
        <v/>
      </c>
      <c r="X94" s="95">
        <f>IF(F$14=0,IF(AND(G68=G120,NOT(G42=G68),NOT(G94=G120),LEN(W42)&gt;0),2,IF(LEN(W42)=0,0,1)),0)</f>
        <v>1</v>
      </c>
      <c r="AC94" s="95" t="str">
        <f>IF(AND(LEN(W94)&gt;0,F$14=0),IF(X94=2,W94&amp;" +2, ",W94&amp;", "),"")</f>
        <v/>
      </c>
    </row>
    <row r="95" spans="1:29">
      <c r="A95" s="95">
        <v>14</v>
      </c>
      <c r="B95" s="95">
        <f>IF(Doubles!C77="",0,Doubles!C77)</f>
        <v>0</v>
      </c>
      <c r="C95" s="99" t="str">
        <f>IF(OR(LEFT(B95,LEN(B$15))=B$15,LEFT(B95,LEN(C$15))=C$15,LEN(B95)&lt;2),"",IF(B95="no pick","","Wrong pick"))</f>
        <v/>
      </c>
      <c r="D95" s="95">
        <f t="shared" si="28"/>
        <v>0</v>
      </c>
      <c r="E95" s="95">
        <f t="shared" si="29"/>
        <v>1</v>
      </c>
      <c r="G95" s="95" t="str">
        <f>IF(B95=0,"",IF(B95="no pick","No Pick",IF(LEFT(B95,LEN(B$15))=B$15,B$15,C$15)))</f>
        <v/>
      </c>
      <c r="H95" s="95" t="str">
        <f t="shared" si="30"/>
        <v>0-0</v>
      </c>
      <c r="I95" s="95" t="str">
        <f>IF(AND(J95=$I$2,F$15=0,NOT(E$15="")),IF(OR(AND(Y95=AA95,Z95=AB95),AND(Y95=AB95,Z95=AA95)),"",IF(AND(Y95=Z95,AA95=AB95),Y95&amp;" +2 v. "&amp;AA95&amp;" +2, ",IF(Y95=AA95,Z95&amp;" v. "&amp;AB95&amp;", ",IF(Z95=AB95,Y95&amp;" v. "&amp;AA95&amp;", ",IF(Y95=AB95,Z95&amp;" v. "&amp;AA95&amp;", ",IF(Z95=AA95,Y95&amp;" v. "&amp;AB95&amp;", ",Y95&amp;" v. "&amp;AA95&amp;", "&amp;Z95&amp;" v. "&amp;AB95&amp;", ")))))),"")</f>
        <v/>
      </c>
      <c r="J95" s="97">
        <f>D$15</f>
        <v>1</v>
      </c>
      <c r="K95" s="95" t="str">
        <f t="shared" si="31"/>
        <v>SR</v>
      </c>
      <c r="L95" s="95" t="str">
        <f t="shared" si="32"/>
        <v>0</v>
      </c>
      <c r="M95" s="95" t="str">
        <f t="shared" si="33"/>
        <v>0</v>
      </c>
      <c r="N95" s="95" t="str">
        <f t="shared" si="34"/>
        <v>0</v>
      </c>
      <c r="O95" s="95" t="str">
        <f t="shared" si="35"/>
        <v>0</v>
      </c>
      <c r="P95" s="95" t="str">
        <f t="shared" si="36"/>
        <v>0</v>
      </c>
      <c r="Q95" s="95">
        <f>IF(AND(G95=T$15,LEN(G95)&gt;1),1,0)</f>
        <v>0</v>
      </c>
      <c r="R95" s="97">
        <f>Doubles!G$15</f>
        <v>14</v>
      </c>
      <c r="S95" s="95">
        <f>IF(AND(H95=H$15,LEN(H95)&gt;1,Q95=1),1,0)</f>
        <v>0</v>
      </c>
      <c r="V95" s="97">
        <f>VLOOKUP(14,R82:S105,2,0)</f>
        <v>0</v>
      </c>
      <c r="W95" s="95" t="str">
        <f t="shared" si="37"/>
        <v/>
      </c>
      <c r="X95" s="95">
        <f>IF(F$15=0,IF(AND(G69=G121,NOT(G43=G69),NOT(G95=G121),LEN(W43)&gt;0),2,IF(LEN(W43)=0,0,1)),0)</f>
        <v>1</v>
      </c>
      <c r="AC95" s="95" t="str">
        <f>IF(AND(LEN(W95)&gt;0,F$15=0),IF(X95=2,W95&amp;" +2, ",W95&amp;", "),"")</f>
        <v/>
      </c>
    </row>
    <row r="96" spans="1:29">
      <c r="A96" s="95">
        <v>15</v>
      </c>
      <c r="B96" s="95">
        <f>IF(Doubles!C78="",0,Doubles!C78)</f>
        <v>0</v>
      </c>
      <c r="C96" s="99" t="str">
        <f>IF(OR(LEFT(B96,LEN(B$16))=B$16,LEFT(B96,LEN(C$16))=C$16,LEN(B96)&lt;2),"",IF(B96="no pick","","Wrong pick"))</f>
        <v/>
      </c>
      <c r="D96" s="95">
        <f t="shared" si="28"/>
        <v>0</v>
      </c>
      <c r="E96" s="95">
        <f t="shared" si="29"/>
        <v>1</v>
      </c>
      <c r="G96" s="95" t="str">
        <f>IF(B96=0,"",IF(B96="no pick","No Pick",IF(LEFT(B96,LEN(B$16))=B$16,B$16,C$16)))</f>
        <v/>
      </c>
      <c r="H96" s="95" t="str">
        <f t="shared" si="30"/>
        <v>0-0</v>
      </c>
      <c r="I96" s="95" t="str">
        <f>IF(AND(J96=$I$2,F$16=0,NOT(E$16="")),IF(OR(AND(Y96=AA96,Z96=AB96),AND(Y96=AB96,Z96=AA96)),"",IF(AND(Y96=Z96,AA96=AB96),Y96&amp;" +2 v. "&amp;AA96&amp;" +2, ",IF(Y96=AA96,Z96&amp;" v. "&amp;AB96&amp;", ",IF(Z96=AB96,Y96&amp;" v. "&amp;AA96&amp;", ",IF(Y96=AB96,Z96&amp;" v. "&amp;AA96&amp;", ",IF(Z96=AA96,Y96&amp;" v. "&amp;AB96&amp;", ",Y96&amp;" v. "&amp;AA96&amp;", "&amp;Z96&amp;" v. "&amp;AB96&amp;", ")))))),"")</f>
        <v/>
      </c>
      <c r="J96" s="97">
        <f>D$16</f>
        <v>1</v>
      </c>
      <c r="K96" s="95" t="str">
        <f t="shared" si="31"/>
        <v>SR</v>
      </c>
      <c r="L96" s="95" t="str">
        <f t="shared" si="32"/>
        <v>0</v>
      </c>
      <c r="M96" s="95" t="str">
        <f t="shared" si="33"/>
        <v>0</v>
      </c>
      <c r="N96" s="95" t="str">
        <f t="shared" si="34"/>
        <v>0</v>
      </c>
      <c r="O96" s="95" t="str">
        <f t="shared" si="35"/>
        <v>0</v>
      </c>
      <c r="P96" s="95" t="str">
        <f t="shared" si="36"/>
        <v>0</v>
      </c>
      <c r="Q96" s="95">
        <f>IF(AND(G96=T$16,LEN(G96)&gt;1),1,0)</f>
        <v>0</v>
      </c>
      <c r="R96" s="97">
        <f>Doubles!G$16</f>
        <v>15</v>
      </c>
      <c r="S96" s="95">
        <f>IF(AND(H96=H$16,LEN(H96)&gt;1,Q96=1),1,0)</f>
        <v>0</v>
      </c>
      <c r="V96" s="97">
        <f>VLOOKUP(15,R82:S105,2,0)</f>
        <v>0</v>
      </c>
      <c r="W96" s="95" t="str">
        <f t="shared" si="37"/>
        <v/>
      </c>
      <c r="X96" s="95">
        <f>IF(F$16=0,IF(AND(G70=G122,NOT(G44=G70),NOT(G96=G122),LEN(W44)&gt;0),2,IF(LEN(W44)=0,0,1)),0)</f>
        <v>1</v>
      </c>
      <c r="AC96" s="95" t="str">
        <f>IF(AND(LEN(W96)&gt;0,F$16=0),IF(X96=2,W96&amp;" +2, ",W96&amp;", "),"")</f>
        <v/>
      </c>
    </row>
    <row r="97" spans="1:29">
      <c r="A97" s="95">
        <v>16</v>
      </c>
      <c r="B97" s="95">
        <f>IF(Doubles!C79="",0,Doubles!C79)</f>
        <v>0</v>
      </c>
      <c r="C97" s="99" t="str">
        <f>IF(OR(LEFT(B97,LEN(B$17))=B$17,LEFT(B97,LEN(C$17))=C$17,LEN(B97)&lt;2),"",IF(B97="no pick","","Wrong pick"))</f>
        <v/>
      </c>
      <c r="D97" s="95">
        <f t="shared" si="28"/>
        <v>0</v>
      </c>
      <c r="E97" s="95">
        <f t="shared" si="29"/>
        <v>1</v>
      </c>
      <c r="G97" s="95" t="str">
        <f>IF(B97=0,"",IF(B97="no pick","No Pick",IF(LEFT(B97,LEN(B$17))=B$17,B$17,C$17)))</f>
        <v/>
      </c>
      <c r="H97" s="95" t="str">
        <f t="shared" si="30"/>
        <v>0-0</v>
      </c>
      <c r="I97" s="95" t="str">
        <f>IF(AND(J97=$I$2,F$17=0,NOT(E$17="")),IF(OR(AND(Y97=AA97,Z97=AB97),AND(Y97=AB97,Z97=AA97)),"",IF(AND(Y97=Z97,AA97=AB97),Y97&amp;" +2 v. "&amp;AA97&amp;" +2, ",IF(Y97=AA97,Z97&amp;" v. "&amp;AB97&amp;", ",IF(Z97=AB97,Y97&amp;" v. "&amp;AA97&amp;", ",IF(Y97=AB97,Z97&amp;" v. "&amp;AA97&amp;", ",IF(Z97=AA97,Y97&amp;" v. "&amp;AB97&amp;", ",Y97&amp;" v. "&amp;AA97&amp;", "&amp;Z97&amp;" v. "&amp;AB97&amp;", ")))))),"")</f>
        <v/>
      </c>
      <c r="J97" s="97">
        <f>D$17</f>
        <v>1</v>
      </c>
      <c r="K97" s="95" t="str">
        <f t="shared" si="31"/>
        <v>SR</v>
      </c>
      <c r="L97" s="95" t="str">
        <f t="shared" si="32"/>
        <v>0</v>
      </c>
      <c r="M97" s="95" t="str">
        <f t="shared" si="33"/>
        <v>0</v>
      </c>
      <c r="N97" s="95" t="str">
        <f t="shared" si="34"/>
        <v>0</v>
      </c>
      <c r="O97" s="95" t="str">
        <f t="shared" si="35"/>
        <v>0</v>
      </c>
      <c r="P97" s="95" t="str">
        <f t="shared" si="36"/>
        <v>0</v>
      </c>
      <c r="Q97" s="95">
        <f>IF(AND(G97=T$17,LEN(G97)&gt;1),1,0)</f>
        <v>0</v>
      </c>
      <c r="R97" s="97">
        <f>Doubles!G$17</f>
        <v>16</v>
      </c>
      <c r="S97" s="95">
        <f>IF(AND(H97=H$17,LEN(H97)&gt;1,Q97=1),1,0)</f>
        <v>0</v>
      </c>
      <c r="V97" s="97">
        <f>VLOOKUP(16,R82:S105,2,0)</f>
        <v>0</v>
      </c>
      <c r="W97" s="95" t="str">
        <f t="shared" si="37"/>
        <v/>
      </c>
      <c r="X97" s="95">
        <f>IF(F$17=0,IF(AND(G71=G123,NOT(G45=G71),NOT(G97=G123),LEN(W45)&gt;0),2,IF(LEN(W45)=0,0,1)),0)</f>
        <v>1</v>
      </c>
      <c r="AC97" s="95" t="str">
        <f>IF(AND(LEN(W97)&gt;0,F$17=0),IF(X97=2,W97&amp;" +2, ",W97&amp;", "),"")</f>
        <v/>
      </c>
    </row>
    <row r="98" spans="1:29">
      <c r="A98" s="95">
        <v>17</v>
      </c>
      <c r="B98" s="95">
        <f>IF(Doubles!C80="",0,Doubles!C80)</f>
        <v>0</v>
      </c>
      <c r="C98" s="99" t="str">
        <f>IF(OR(LEFT(B98,LEN(B$18))=B$18,LEFT(B98,LEN(C$18))=C$18,LEN(B98)&lt;2),"",IF(B98="no pick","","Wrong pick"))</f>
        <v/>
      </c>
      <c r="D98" s="95">
        <f t="shared" si="28"/>
        <v>0</v>
      </c>
      <c r="E98" s="95">
        <f t="shared" si="29"/>
        <v>0</v>
      </c>
      <c r="G98" s="95" t="str">
        <f>IF(B98=0,"",IF(B98="no pick","No Pick",IF(LEFT(B98,LEN(B$18))=B$18,B$18,C$18)))</f>
        <v/>
      </c>
      <c r="H98" s="95" t="str">
        <f t="shared" si="30"/>
        <v>0-0</v>
      </c>
      <c r="I98" s="95" t="str">
        <f>IF(AND(J98=$I$2,F$18=0,NOT(E$18="")),IF(OR(AND(Y98=AA98,Z98=AB98),AND(Y98=AB98,Z98=AA98)),"",IF(AND(Y98=Z98,AA98=AB98),Y98&amp;" +2 v. "&amp;AA98&amp;" +2, ",IF(Y98=AA98,Z98&amp;" v. "&amp;AB98&amp;", ",IF(Z98=AB98,Y98&amp;" v. "&amp;AA98&amp;", ",IF(Y98=AB98,Z98&amp;" v. "&amp;AA98&amp;", ",IF(Z98=AA98,Y98&amp;" v. "&amp;AB98&amp;", ",Y98&amp;" v. "&amp;AA98&amp;", "&amp;Z98&amp;" v. "&amp;AB98&amp;", ")))))),"")</f>
        <v/>
      </c>
      <c r="J98" s="95">
        <f>D$18</f>
        <v>0</v>
      </c>
      <c r="K98" s="95" t="str">
        <f t="shared" si="31"/>
        <v>SR</v>
      </c>
      <c r="L98" s="95" t="str">
        <f t="shared" si="32"/>
        <v>0</v>
      </c>
      <c r="M98" s="95" t="str">
        <f t="shared" si="33"/>
        <v>0</v>
      </c>
      <c r="N98" s="95" t="str">
        <f t="shared" si="34"/>
        <v>0</v>
      </c>
      <c r="O98" s="95" t="str">
        <f t="shared" si="35"/>
        <v>0</v>
      </c>
      <c r="P98" s="95" t="str">
        <f t="shared" si="36"/>
        <v>0</v>
      </c>
      <c r="Q98" s="95">
        <f>IF(AND(G98=T$18,LEN(G98)&gt;1),1,0)</f>
        <v>0</v>
      </c>
      <c r="R98" s="97">
        <f>Doubles!G$18</f>
        <v>17</v>
      </c>
      <c r="S98" s="95">
        <f>IF(AND(H98=H$18,LEN(H98)&gt;1,Q98=1),1,0)</f>
        <v>0</v>
      </c>
      <c r="V98" s="95">
        <f>VLOOKUP(17,R82:S105,2,0)</f>
        <v>0</v>
      </c>
      <c r="W98" s="95" t="str">
        <f t="shared" si="37"/>
        <v/>
      </c>
      <c r="X98" s="95">
        <f>IF(F$18=0,IF(AND(G72=G124,NOT(G46=G72),NOT(G98=G124),LEN(W46)&gt;0),2,IF(LEN(W46)=0,0,1)),0)</f>
        <v>0</v>
      </c>
      <c r="AC98" s="95" t="str">
        <f>IF(AND(LEN(W98)&gt;0,F$18=0),IF(X98=2,W98&amp;" +2, ",W98&amp;", "),"")</f>
        <v/>
      </c>
    </row>
    <row r="99" spans="1:29">
      <c r="A99" s="95">
        <v>18</v>
      </c>
      <c r="B99" s="95">
        <f>IF(Doubles!C81="",0,Doubles!C81)</f>
        <v>0</v>
      </c>
      <c r="C99" s="99" t="str">
        <f>IF(OR(LEFT(B99,LEN(B$19))=B$19,LEFT(B99,LEN(C$19))=C$19,LEN(B99)&lt;2),"",IF(B99="no pick","","Wrong pick"))</f>
        <v/>
      </c>
      <c r="D99" s="95">
        <f t="shared" si="28"/>
        <v>0</v>
      </c>
      <c r="E99" s="95">
        <f t="shared" si="29"/>
        <v>0</v>
      </c>
      <c r="G99" s="95" t="str">
        <f>IF(B99=0,"",IF(B99="no pick","No Pick",IF(LEFT(B99,LEN(B$19))=B$19,B$19,C$19)))</f>
        <v/>
      </c>
      <c r="H99" s="95" t="str">
        <f t="shared" si="30"/>
        <v>0-0</v>
      </c>
      <c r="I99" s="95" t="str">
        <f>IF(AND(J99=$I$2,F$19=0,NOT(E$19="")),IF(OR(AND(Y99=AA99,Z99=AB99),AND(Y99=AB99,Z99=AA99)),"",IF(AND(Y99=Z99,AA99=AB99),Y99&amp;" +2 v. "&amp;AA99&amp;" +2, ",IF(Y99=AA99,Z99&amp;" v. "&amp;AB99&amp;", ",IF(Z99=AB99,Y99&amp;" v. "&amp;AA99&amp;", ",IF(Y99=AB99,Z99&amp;" v. "&amp;AA99&amp;", ",IF(Z99=AA99,Y99&amp;" v. "&amp;AB99&amp;", ",Y99&amp;" v. "&amp;AA99&amp;", "&amp;Z99&amp;" v. "&amp;AB99&amp;", ")))))),"")</f>
        <v/>
      </c>
      <c r="J99" s="95">
        <f>D$19</f>
        <v>0</v>
      </c>
      <c r="K99" s="95" t="str">
        <f t="shared" si="31"/>
        <v>SR</v>
      </c>
      <c r="L99" s="95" t="str">
        <f t="shared" si="32"/>
        <v>0</v>
      </c>
      <c r="M99" s="95" t="str">
        <f t="shared" si="33"/>
        <v>0</v>
      </c>
      <c r="N99" s="95" t="str">
        <f t="shared" si="34"/>
        <v>0</v>
      </c>
      <c r="O99" s="95" t="str">
        <f t="shared" si="35"/>
        <v>0</v>
      </c>
      <c r="P99" s="95" t="str">
        <f t="shared" si="36"/>
        <v>0</v>
      </c>
      <c r="Q99" s="95">
        <f>IF(AND(G99=T$19,LEN(G99)&gt;1),1,0)</f>
        <v>0</v>
      </c>
      <c r="R99" s="97">
        <f>Doubles!G$19</f>
        <v>18</v>
      </c>
      <c r="S99" s="95">
        <f>IF(AND(H99=H$19,LEN(H99)&gt;1,Q99=1),1,0)</f>
        <v>0</v>
      </c>
      <c r="V99" s="97">
        <f>VLOOKUP(18,R82:S105,2,0)</f>
        <v>0</v>
      </c>
      <c r="W99" s="95" t="str">
        <f t="shared" si="37"/>
        <v/>
      </c>
      <c r="X99" s="95">
        <f>IF(F$19=0,IF(AND(G73=G125,NOT(G47=G73),NOT(G99=G125),LEN(W47)&gt;0),2,IF(LEN(W47)=0,0,1)),0)</f>
        <v>0</v>
      </c>
      <c r="AC99" s="95" t="str">
        <f>IF(AND(LEN(W99)&gt;0,F$19=0),IF(X99=2,W99&amp;" +2, ",W99&amp;", "),"")</f>
        <v/>
      </c>
    </row>
    <row r="100" spans="1:29">
      <c r="A100" s="95">
        <v>19</v>
      </c>
      <c r="B100" s="95">
        <f>IF(Doubles!C82="",0,Doubles!C82)</f>
        <v>0</v>
      </c>
      <c r="C100" s="99" t="str">
        <f>IF(OR(LEFT(B100,LEN(B$20))=B$20,LEFT(B100,LEN(C$20))=C$20,LEN(B100)&lt;2),"",IF(B100="no pick","","Wrong pick"))</f>
        <v/>
      </c>
      <c r="D100" s="95">
        <f t="shared" si="28"/>
        <v>0</v>
      </c>
      <c r="E100" s="95">
        <f t="shared" si="29"/>
        <v>0</v>
      </c>
      <c r="G100" s="95" t="str">
        <f>IF(B100=0,"",IF(B100="no pick","No Pick",IF(LEFT(B100,LEN(B$20))=B$20,B$20,C$20)))</f>
        <v/>
      </c>
      <c r="H100" s="95" t="str">
        <f t="shared" si="30"/>
        <v>0-0</v>
      </c>
      <c r="I100" s="95" t="str">
        <f>IF(AND(J100=$I$2,F$20=0,NOT(E$20="")),IF(OR(AND(Y100=AA100,Z100=AB100),AND(Y100=AB100,Z100=AA100)),"",IF(AND(Y100=Z100,AA100=AB100),Y100&amp;" +2 v. "&amp;AA100&amp;" +2, ",IF(Y100=AA100,Z100&amp;" v. "&amp;AB100&amp;", ",IF(Z100=AB100,Y100&amp;" v. "&amp;AA100&amp;", ",IF(Y100=AB100,Z100&amp;" v. "&amp;AA100&amp;", ",IF(Z100=AA100,Y100&amp;" v. "&amp;AB100&amp;", ",Y100&amp;" v. "&amp;AA100&amp;", "&amp;Z100&amp;" v. "&amp;AB100&amp;", ")))))),"")</f>
        <v/>
      </c>
      <c r="J100" s="95">
        <f>D$20</f>
        <v>0</v>
      </c>
      <c r="K100" s="95" t="str">
        <f t="shared" si="31"/>
        <v>SR</v>
      </c>
      <c r="L100" s="95" t="str">
        <f t="shared" si="32"/>
        <v>0</v>
      </c>
      <c r="M100" s="95" t="str">
        <f t="shared" si="33"/>
        <v>0</v>
      </c>
      <c r="N100" s="95" t="str">
        <f t="shared" si="34"/>
        <v>0</v>
      </c>
      <c r="O100" s="95" t="str">
        <f t="shared" si="35"/>
        <v>0</v>
      </c>
      <c r="P100" s="95" t="str">
        <f t="shared" si="36"/>
        <v>0</v>
      </c>
      <c r="Q100" s="95">
        <f>IF(AND(G100=T$20,LEN(G100)&gt;1),1,0)</f>
        <v>0</v>
      </c>
      <c r="R100" s="97">
        <f>Doubles!G$20</f>
        <v>19</v>
      </c>
      <c r="S100" s="95">
        <f>IF(AND(H100=H$20,LEN(H100)&gt;1,Q100=1),1,0)</f>
        <v>0</v>
      </c>
      <c r="V100" s="97">
        <f>VLOOKUP(19,R82:S105,2,0)</f>
        <v>0</v>
      </c>
      <c r="W100" s="95" t="str">
        <f t="shared" si="37"/>
        <v/>
      </c>
      <c r="X100" s="95">
        <f>IF(F$20=0,IF(AND(G74=G126,NOT(G48=G74),NOT(G100=G126),LEN(W48)&gt;0),2,IF(LEN(W48)=0,0,1)),0)</f>
        <v>0</v>
      </c>
      <c r="AC100" s="95" t="str">
        <f>IF(AND(LEN(W100)&gt;0,F$20=0),IF(X100=2,W100&amp;" +2, ",W100&amp;", "),"")</f>
        <v/>
      </c>
    </row>
    <row r="101" spans="1:29">
      <c r="A101" s="95">
        <v>20</v>
      </c>
      <c r="B101" s="95">
        <f>IF(Doubles!C83="",0,Doubles!C83)</f>
        <v>0</v>
      </c>
      <c r="C101" s="99" t="str">
        <f>IF(OR(LEFT(B101,LEN(B$21))=B$21,LEFT(B101,LEN(C$21))=C$21,LEN(B101)&lt;2),"",IF(B101="no pick","","Wrong pick"))</f>
        <v/>
      </c>
      <c r="D101" s="95">
        <f t="shared" si="28"/>
        <v>0</v>
      </c>
      <c r="E101" s="95">
        <f t="shared" si="29"/>
        <v>0</v>
      </c>
      <c r="G101" s="95" t="str">
        <f>IF(B101=0,"",IF(B101="no pick","No Pick",IF(LEFT(B101,LEN(B$21))=B$21,B$21,C$21)))</f>
        <v/>
      </c>
      <c r="H101" s="95" t="str">
        <f t="shared" si="30"/>
        <v>0-0</v>
      </c>
      <c r="I101" s="95" t="str">
        <f>IF(AND(J101=$I$2,F$21=0,NOT(E$21="")),IF(OR(AND(Y101=AA101,Z101=AB101),AND(Y101=AB101,Z101=AA101)),"",IF(AND(Y101=Z101,AA101=AB101),Y101&amp;" +2 v. "&amp;AA101&amp;" +2, ",IF(Y101=AA101,Z101&amp;" v. "&amp;AB101&amp;", ",IF(Z101=AB101,Y101&amp;" v. "&amp;AA101&amp;", ",IF(Y101=AB101,Z101&amp;" v. "&amp;AA101&amp;", ",IF(Z101=AA101,Y101&amp;" v. "&amp;AB101&amp;", ",Y101&amp;" v. "&amp;AA101&amp;", "&amp;Z101&amp;" v. "&amp;AB101&amp;", ")))))),"")</f>
        <v/>
      </c>
      <c r="J101" s="95">
        <f>D$21</f>
        <v>0</v>
      </c>
      <c r="K101" s="95" t="str">
        <f t="shared" si="31"/>
        <v>SR</v>
      </c>
      <c r="L101" s="95" t="str">
        <f t="shared" si="32"/>
        <v>0</v>
      </c>
      <c r="M101" s="95" t="str">
        <f t="shared" si="33"/>
        <v>0</v>
      </c>
      <c r="N101" s="95" t="str">
        <f t="shared" si="34"/>
        <v>0</v>
      </c>
      <c r="O101" s="95" t="str">
        <f t="shared" si="35"/>
        <v>0</v>
      </c>
      <c r="P101" s="95" t="str">
        <f t="shared" si="36"/>
        <v>0</v>
      </c>
      <c r="Q101" s="95">
        <f>IF(AND(G101=T$21,LEN(G101)&gt;1),1,0)</f>
        <v>0</v>
      </c>
      <c r="R101" s="97">
        <f>Doubles!G$21</f>
        <v>20</v>
      </c>
      <c r="S101" s="95">
        <f>IF(AND(H101=H$21,LEN(H101)&gt;1,Q101=1),1,0)</f>
        <v>0</v>
      </c>
      <c r="V101" s="97">
        <f>VLOOKUP(20,R82:S105,2,0)</f>
        <v>0</v>
      </c>
      <c r="W101" s="95" t="str">
        <f t="shared" si="37"/>
        <v/>
      </c>
      <c r="X101" s="95">
        <f>IF(F$21=0,IF(AND(G75=G127,NOT(G49=G75),NOT(G101=G127),LEN(W49)&gt;0),2,IF(LEN(W49)=0,0,1)),0)</f>
        <v>0</v>
      </c>
      <c r="AC101" s="95" t="str">
        <f>IF(AND(LEN(W101)&gt;0,F$21=0),IF(X101=2,W101&amp;" +2, ",W101&amp;", "),"")</f>
        <v/>
      </c>
    </row>
    <row r="102" spans="1:29">
      <c r="A102" s="95">
        <v>21</v>
      </c>
      <c r="B102" s="95">
        <f>IF(Doubles!C84="",0,Doubles!C84)</f>
        <v>0</v>
      </c>
      <c r="C102" s="99" t="str">
        <f>IF(OR(LEFT(B102,LEN(B$22))=B$22,LEFT(B102,LEN(C$22))=C$22,LEN(B102)&lt;2),"",IF(B102="no pick","","Wrong pick"))</f>
        <v/>
      </c>
      <c r="D102" s="95">
        <f t="shared" si="28"/>
        <v>0</v>
      </c>
      <c r="E102" s="95">
        <f t="shared" si="29"/>
        <v>0</v>
      </c>
      <c r="G102" s="95" t="str">
        <f>IF(B102=0,"",IF(B102="no pick","No Pick",IF(LEFT(B102,LEN(B$22))=B$22,B$22,C$22)))</f>
        <v/>
      </c>
      <c r="H102" s="95" t="str">
        <f t="shared" si="30"/>
        <v>0-0</v>
      </c>
      <c r="I102" s="95" t="str">
        <f>IF(AND(J102=$I$2,F$22=0,NOT(E$22="")),IF(OR(AND(Y102=AA102,Z102=AB102),AND(Y102=AB102,Z102=AA102)),"",IF(AND(Y102=Z102,AA102=AB102),Y102&amp;" +2 v. "&amp;AA102&amp;" +2, ",IF(Y102=AA102,Z102&amp;" v. "&amp;AB102&amp;", ",IF(Z102=AB102,Y102&amp;" v. "&amp;AA102&amp;", ",IF(Y102=AB102,Z102&amp;" v. "&amp;AA102&amp;", ",IF(Z102=AA102,Y102&amp;" v. "&amp;AB102&amp;", ",Y102&amp;" v. "&amp;AA102&amp;", "&amp;Z102&amp;" v. "&amp;AB102&amp;", ")))))),"")</f>
        <v/>
      </c>
      <c r="J102" s="95">
        <f>D$22</f>
        <v>0</v>
      </c>
      <c r="K102" s="95" t="str">
        <f t="shared" si="31"/>
        <v>SR</v>
      </c>
      <c r="L102" s="95" t="str">
        <f t="shared" si="32"/>
        <v>0</v>
      </c>
      <c r="M102" s="95" t="str">
        <f t="shared" si="33"/>
        <v>0</v>
      </c>
      <c r="N102" s="95" t="str">
        <f t="shared" si="34"/>
        <v>0</v>
      </c>
      <c r="O102" s="95" t="str">
        <f t="shared" si="35"/>
        <v>0</v>
      </c>
      <c r="P102" s="95" t="str">
        <f t="shared" si="36"/>
        <v>0</v>
      </c>
      <c r="Q102" s="95">
        <f>IF(AND(G102=T$22,LEN(G102)&gt;1),1,0)</f>
        <v>0</v>
      </c>
      <c r="R102" s="97">
        <f>Doubles!G$22</f>
        <v>21</v>
      </c>
      <c r="S102" s="95">
        <f>IF(AND(H102=H$22,LEN(H102)&gt;1,Q102=1),1,0)</f>
        <v>0</v>
      </c>
      <c r="V102" s="97">
        <f>VLOOKUP(21,R82:S105,2,0)</f>
        <v>0</v>
      </c>
      <c r="W102" s="95" t="str">
        <f t="shared" si="37"/>
        <v/>
      </c>
      <c r="X102" s="95">
        <f>IF(F$22=0,IF(AND(G76=G128,NOT(G50=G76),NOT(G102=G128),LEN(W50)&gt;0),2,IF(LEN(W50)=0,0,1)),0)</f>
        <v>0</v>
      </c>
      <c r="AC102" s="95" t="str">
        <f>IF(AND(LEN(W102)&gt;0,F$22=0),IF(X102=2,W102&amp;" +2, ",W102&amp;", "),"")</f>
        <v/>
      </c>
    </row>
    <row r="103" spans="1:29">
      <c r="A103" s="95">
        <v>22</v>
      </c>
      <c r="B103" s="95">
        <f>IF(Doubles!C85="",0,Doubles!C85)</f>
        <v>0</v>
      </c>
      <c r="C103" s="99" t="str">
        <f>IF(OR(LEFT(B103,LEN(B$23))=B$23,LEFT(B103,LEN(C$23))=C$23,LEN(B103)&lt;2),"",IF(B103="no pick","","Wrong pick"))</f>
        <v/>
      </c>
      <c r="D103" s="95">
        <f t="shared" si="28"/>
        <v>0</v>
      </c>
      <c r="E103" s="95">
        <f t="shared" si="29"/>
        <v>0</v>
      </c>
      <c r="G103" s="95" t="str">
        <f>IF(B103=0,"",IF(B103="no pick","No Pick",IF(LEFT(B103,LEN(B$23))=B$23,B$23,C$23)))</f>
        <v/>
      </c>
      <c r="H103" s="95" t="str">
        <f t="shared" si="30"/>
        <v>0-0</v>
      </c>
      <c r="I103" s="95" t="str">
        <f>IF(AND(J103=$I$2,F$23=0,NOT(E$23="")),IF(OR(AND(Y103=AA103,Z103=AB103),AND(Y103=AB103,Z103=AA103)),"",IF(AND(Y103=Z103,AA103=AB103),Y103&amp;" +2 v. "&amp;AA103&amp;" +2, ",IF(Y103=AA103,Z103&amp;" v. "&amp;AB103&amp;", ",IF(Z103=AB103,Y103&amp;" v. "&amp;AA103&amp;", ",IF(Y103=AB103,Z103&amp;" v. "&amp;AA103&amp;", ",IF(Z103=AA103,Y103&amp;" v. "&amp;AB103&amp;", ",Y103&amp;" v. "&amp;AA103&amp;", "&amp;Z103&amp;" v. "&amp;AB103&amp;", ")))))),"")</f>
        <v/>
      </c>
      <c r="J103" s="95">
        <f>D$23</f>
        <v>0</v>
      </c>
      <c r="K103" s="95" t="str">
        <f t="shared" si="31"/>
        <v>SR</v>
      </c>
      <c r="L103" s="95" t="str">
        <f t="shared" si="32"/>
        <v>0</v>
      </c>
      <c r="M103" s="95" t="str">
        <f t="shared" si="33"/>
        <v>0</v>
      </c>
      <c r="N103" s="95" t="str">
        <f t="shared" si="34"/>
        <v>0</v>
      </c>
      <c r="O103" s="95" t="str">
        <f t="shared" si="35"/>
        <v>0</v>
      </c>
      <c r="P103" s="95" t="str">
        <f t="shared" si="36"/>
        <v>0</v>
      </c>
      <c r="Q103" s="95">
        <f>IF(AND(G103=T$23,LEN(G103)&gt;1),1,0)</f>
        <v>0</v>
      </c>
      <c r="R103" s="97">
        <f>Doubles!G$23</f>
        <v>22</v>
      </c>
      <c r="S103" s="95">
        <f>IF(AND(H103=H$23,LEN(H103)&gt;1,Q103=1),1,0)</f>
        <v>0</v>
      </c>
      <c r="V103" s="97">
        <f>VLOOKUP(22,R82:S105,2,0)</f>
        <v>0</v>
      </c>
      <c r="W103" s="95" t="str">
        <f t="shared" si="37"/>
        <v/>
      </c>
      <c r="X103" s="95">
        <f>IF(F$23=0,IF(AND(G77=G129,NOT(G51=G77),NOT(G103=G129),LEN(W51)&gt;0),2,IF(LEN(W51)=0,0,1)),0)</f>
        <v>0</v>
      </c>
      <c r="AC103" s="95" t="str">
        <f>IF(AND(LEN(W103)&gt;0,F$23=0),IF(X103=2,W103&amp;" +2, ",W103&amp;", "),"")</f>
        <v/>
      </c>
    </row>
    <row r="104" spans="1:29">
      <c r="A104" s="95">
        <v>23</v>
      </c>
      <c r="B104" s="95">
        <f>IF(Doubles!C86="",0,Doubles!C86)</f>
        <v>0</v>
      </c>
      <c r="C104" s="99" t="str">
        <f>IF(OR(LEFT(B104,LEN(B$24))=B$24,LEFT(B104,LEN(C$24))=C$24,LEN(B104)&lt;2),"",IF(B104="no pick","","Wrong pick"))</f>
        <v/>
      </c>
      <c r="D104" s="95">
        <f t="shared" si="28"/>
        <v>0</v>
      </c>
      <c r="E104" s="95">
        <f t="shared" si="29"/>
        <v>0</v>
      </c>
      <c r="G104" s="95" t="str">
        <f>IF(B104=0,"",IF(B104="no pick","No Pick",IF(LEFT(B104,LEN(B$24))=B$24,B$24,C$24)))</f>
        <v/>
      </c>
      <c r="H104" s="95" t="str">
        <f t="shared" si="30"/>
        <v>0-0</v>
      </c>
      <c r="I104" s="95" t="str">
        <f>IF(AND(J104=$I$2,F$24=0,NOT(E$24="")),IF(OR(AND(Y104=AA104,Z104=AB104),AND(Y104=AB104,Z104=AA104)),"",IF(AND(Y104=Z104,AA104=AB104),Y104&amp;" +2 v. "&amp;AA104&amp;" +2, ",IF(Y104=AA104,Z104&amp;" v. "&amp;AB104&amp;", ",IF(Z104=AB104,Y104&amp;" v. "&amp;AA104&amp;", ",IF(Y104=AB104,Z104&amp;" v. "&amp;AA104&amp;", ",IF(Z104=AA104,Y104&amp;" v. "&amp;AB104&amp;", ",Y104&amp;" v. "&amp;AA104&amp;", "&amp;Z104&amp;" v. "&amp;AB104&amp;", ")))))),"")</f>
        <v/>
      </c>
      <c r="J104" s="95">
        <f>D$24</f>
        <v>0</v>
      </c>
      <c r="K104" s="95" t="str">
        <f t="shared" si="31"/>
        <v>SR</v>
      </c>
      <c r="L104" s="95" t="str">
        <f t="shared" si="32"/>
        <v>0</v>
      </c>
      <c r="M104" s="95" t="str">
        <f t="shared" si="33"/>
        <v>0</v>
      </c>
      <c r="N104" s="95" t="str">
        <f t="shared" si="34"/>
        <v>0</v>
      </c>
      <c r="O104" s="95" t="str">
        <f t="shared" si="35"/>
        <v>0</v>
      </c>
      <c r="P104" s="95" t="str">
        <f t="shared" si="36"/>
        <v>0</v>
      </c>
      <c r="Q104" s="95">
        <f>IF(AND(G104=T$24,LEN(G104)&gt;1),1,0)</f>
        <v>0</v>
      </c>
      <c r="R104" s="97">
        <f>Doubles!G$24</f>
        <v>23</v>
      </c>
      <c r="S104" s="95">
        <f>IF(AND(H104=H$24,LEN(H104)&gt;1,Q104=1),1,0)</f>
        <v>0</v>
      </c>
      <c r="V104" s="97">
        <f>VLOOKUP(23,R82:S105,2,0)</f>
        <v>0</v>
      </c>
      <c r="W104" s="95" t="str">
        <f t="shared" si="37"/>
        <v/>
      </c>
      <c r="X104" s="95">
        <f>IF(F$24=0,IF(AND(G78=G130,NOT(G52=G78),NOT(G104=G130),LEN(W52)&gt;0),2,IF(LEN(W52)=0,0,1)),0)</f>
        <v>0</v>
      </c>
      <c r="AC104" s="95" t="str">
        <f>IF(AND(LEN(W104)&gt;0,F$24=0),IF(X104=2,W104&amp;" +2, ",W104&amp;", "),"")</f>
        <v/>
      </c>
    </row>
    <row r="105" spans="1:29">
      <c r="A105" s="95">
        <v>24</v>
      </c>
      <c r="B105" s="95">
        <f>IF(Doubles!C87="",0,Doubles!C87)</f>
        <v>0</v>
      </c>
      <c r="C105" s="99" t="str">
        <f>IF(OR(LEFT(B105,LEN(B$25))=B$25,LEFT(B105,LEN(C$25))=C$25,LEN(B105)&lt;2),"",IF(B105="no pick","","Wrong pick"))</f>
        <v/>
      </c>
      <c r="D105" s="95">
        <f t="shared" si="28"/>
        <v>0</v>
      </c>
      <c r="E105" s="95">
        <f t="shared" si="29"/>
        <v>0</v>
      </c>
      <c r="G105" s="95" t="str">
        <f>IF(B105=0,"",IF(B105="no pick","No Pick",IF(LEFT(B105,LEN(B$25))=B$25,B$25,C$25)))</f>
        <v/>
      </c>
      <c r="H105" s="95" t="str">
        <f t="shared" si="30"/>
        <v>0-0</v>
      </c>
      <c r="I105" s="95" t="str">
        <f>IF(AND(J105=$I$2,F$25=0,NOT(E$25="")),IF(OR(AND(Y105=AA105,Z105=AB105),AND(Y105=AB105,Z105=AA105)),"",IF(AND(Y105=Z105,AA105=AB105),Y105&amp;" +2 v. "&amp;AA105&amp;" +2, ",IF(Y105=AA105,Z105&amp;" v. "&amp;AB105&amp;", ",IF(Z105=AB105,Y105&amp;" v. "&amp;AA105&amp;", ",IF(Y105=AB105,Z105&amp;" v. "&amp;AA105&amp;", ",IF(Z105=AA105,Y105&amp;" v. "&amp;AB105&amp;", ",Y105&amp;" v. "&amp;AA105&amp;", "&amp;Z105&amp;" v. "&amp;AB105&amp;", ")))))),"")</f>
        <v/>
      </c>
      <c r="J105" s="95">
        <f>D$25</f>
        <v>0</v>
      </c>
      <c r="K105" s="95" t="str">
        <f t="shared" si="31"/>
        <v>SR</v>
      </c>
      <c r="L105" s="95" t="str">
        <f t="shared" si="32"/>
        <v>0</v>
      </c>
      <c r="M105" s="95" t="str">
        <f t="shared" si="33"/>
        <v>0</v>
      </c>
      <c r="N105" s="95" t="str">
        <f t="shared" si="34"/>
        <v>0</v>
      </c>
      <c r="O105" s="95" t="str">
        <f t="shared" si="35"/>
        <v>0</v>
      </c>
      <c r="P105" s="95" t="str">
        <f t="shared" si="36"/>
        <v>0</v>
      </c>
      <c r="Q105" s="95">
        <f>IF(AND(G105=T$25,LEN(G105)&gt;1),1,0)</f>
        <v>0</v>
      </c>
      <c r="R105" s="97">
        <f>Doubles!G$25</f>
        <v>24</v>
      </c>
      <c r="S105" s="95">
        <f>IF(AND(H105=H$25,LEN(H105)&gt;1,Q105=1),1,0)</f>
        <v>0</v>
      </c>
      <c r="V105" s="97">
        <f>VLOOKUP(24,R82:S105,2,0)</f>
        <v>0</v>
      </c>
      <c r="W105" s="95" t="str">
        <f t="shared" si="37"/>
        <v/>
      </c>
      <c r="X105" s="95">
        <f>IF(F$25=0,IF(AND(G79=G131,NOT(G53=G79),NOT(G105=G131),LEN(W53)&gt;0),2,IF(LEN(W53)=0,0,1)),0)</f>
        <v>0</v>
      </c>
      <c r="AC105" s="95" t="str">
        <f>IF(AND(LEN(W105)&gt;0,F$25=0),IF(X105=2,W105&amp;" +2, ",W105&amp;", "),"")</f>
        <v/>
      </c>
    </row>
    <row r="107" spans="1:29">
      <c r="A107" s="95" t="str">
        <f>IF(LEN(VLOOKUP(B107,Doubles!$B$2:$D$17,3,0))&gt;0,VLOOKUP(B107,Doubles!$B$2:$D$17,3,0),"")</f>
        <v/>
      </c>
      <c r="B107" s="96" t="str">
        <f>Doubles!E63</f>
        <v>BYE</v>
      </c>
      <c r="C107" s="96">
        <v>4</v>
      </c>
      <c r="D107" s="95">
        <f>VLOOKUP(B107,Doubles!$B$2:$F$17,5,0)</f>
        <v>0</v>
      </c>
      <c r="J107" s="95" t="s">
        <v>88</v>
      </c>
      <c r="Q107" s="95" t="s">
        <v>121</v>
      </c>
      <c r="S107" s="95" t="s">
        <v>122</v>
      </c>
      <c r="T107" s="95" t="str">
        <f>B107</f>
        <v>BYE</v>
      </c>
      <c r="V107" s="95" t="s">
        <v>122</v>
      </c>
    </row>
    <row r="108" spans="1:29">
      <c r="A108" s="95">
        <v>1</v>
      </c>
      <c r="B108" s="95">
        <f>IF(Doubles!E64="",0,Doubles!E64)</f>
        <v>0</v>
      </c>
      <c r="C108" s="99" t="str">
        <f>IF(OR(LEFT(B108,LEN(B$2))=B$2,LEFT(B108,LEN(C$2))=C$2,LEN(B108)&lt;2),"",IF(B108="no pick","","Wrong pick"))</f>
        <v/>
      </c>
      <c r="E108" s="95">
        <f t="shared" ref="E108:E131" si="38">IF(AND($I$2=J108,B108=0),1,0)</f>
        <v>1</v>
      </c>
      <c r="F108" s="95" t="str">
        <f>IF(AND(SUM(E108:E131)=$I$4,NOT(B107="Bye")),"Missing picks from "&amp;B107&amp;" ","")</f>
        <v/>
      </c>
      <c r="G108" s="95" t="str">
        <f>IF(B108=0,"",IF(B108="no pick","No Pick",IF(LEFT(B108,LEN(B$2))=B$2,B$2,C$2)))</f>
        <v/>
      </c>
      <c r="H108" s="95" t="str">
        <f t="shared" ref="H108:H131" si="39">IF(L108="","",IF(K108="PTS",IF(LEN(O108)&lt;8,"2-0","2-1"),LEFT(O108,1)&amp;"-"&amp;RIGHT(O108,1)))</f>
        <v>0-0</v>
      </c>
      <c r="J108" s="97">
        <f>D$2</f>
        <v>1</v>
      </c>
      <c r="K108" s="95" t="str">
        <f t="shared" ref="K108:K131" si="40">IF(LEN(L108)&gt;0,IF(LEN(O108)&lt;4,"SR","PTS"),"")</f>
        <v>SR</v>
      </c>
      <c r="L108" s="95" t="str">
        <f t="shared" ref="L108:L131" si="41">TRIM(RIGHT(B108,LEN(B108)-LEN(G108)))</f>
        <v>0</v>
      </c>
      <c r="M108" s="95" t="str">
        <f t="shared" ref="M108:M131" si="42">SUBSTITUTE(L108,"-","")</f>
        <v>0</v>
      </c>
      <c r="N108" s="95" t="str">
        <f t="shared" ref="N108:N131" si="43">SUBSTITUTE(M108,","," ")</f>
        <v>0</v>
      </c>
      <c r="O108" s="95" t="str">
        <f t="shared" ref="O108:O131" si="44">IF(AND(LEN(TRIM(SUBSTITUTE(P108,"/","")))&gt;6,OR(LEFT(TRIM(SUBSTITUTE(P108,"/","")),2)="20",LEFT(TRIM(SUBSTITUTE(P108,"/","")),2)="21")),RIGHT(TRIM(SUBSTITUTE(P108,"/","")),LEN(TRIM(SUBSTITUTE(P108,"/","")))-3),TRIM(SUBSTITUTE(P108,"/","")))</f>
        <v>0</v>
      </c>
      <c r="P108" s="95" t="str">
        <f t="shared" ref="P108:P131" si="45">SUBSTITUTE(N108,":","")</f>
        <v>0</v>
      </c>
      <c r="Q108" s="95">
        <f>IF(AND(G108=T$2,LEN(G108)&gt;1),1,0)</f>
        <v>0</v>
      </c>
      <c r="R108" s="97">
        <f>Doubles!G$2</f>
        <v>1</v>
      </c>
      <c r="S108" s="95">
        <f>IF(AND(H108=H$2,LEN(H108)&gt;1,Q108=1),1,0)</f>
        <v>0</v>
      </c>
      <c r="V108" s="97">
        <f>VLOOKUP(1,R108:S131,2,0)</f>
        <v>0</v>
      </c>
      <c r="W108" s="95">
        <v>1</v>
      </c>
    </row>
    <row r="109" spans="1:29">
      <c r="A109" s="95">
        <v>2</v>
      </c>
      <c r="B109" s="95">
        <f>IF(Doubles!E65="",0,Doubles!E65)</f>
        <v>0</v>
      </c>
      <c r="C109" s="99" t="str">
        <f>IF(OR(LEFT(B109,LEN(B$3))=B$3,LEFT(B109,LEN(C$3))=C$3,LEN(B109)&lt;2),"",IF(B109="no pick","","Wrong pick"))</f>
        <v/>
      </c>
      <c r="E109" s="95">
        <f t="shared" si="38"/>
        <v>1</v>
      </c>
      <c r="G109" s="95" t="str">
        <f>IF(B109=0,"",IF(B109="no pick","No Pick",IF(LEFT(B109,LEN(B$3))=B$3,B$3,C$3)))</f>
        <v/>
      </c>
      <c r="H109" s="95" t="str">
        <f t="shared" si="39"/>
        <v>0-0</v>
      </c>
      <c r="J109" s="97">
        <f>D$3</f>
        <v>1</v>
      </c>
      <c r="K109" s="95" t="str">
        <f t="shared" si="40"/>
        <v>SR</v>
      </c>
      <c r="L109" s="95" t="str">
        <f t="shared" si="41"/>
        <v>0</v>
      </c>
      <c r="M109" s="95" t="str">
        <f t="shared" si="42"/>
        <v>0</v>
      </c>
      <c r="N109" s="95" t="str">
        <f t="shared" si="43"/>
        <v>0</v>
      </c>
      <c r="O109" s="95" t="str">
        <f t="shared" si="44"/>
        <v>0</v>
      </c>
      <c r="P109" s="95" t="str">
        <f t="shared" si="45"/>
        <v>0</v>
      </c>
      <c r="Q109" s="95">
        <f>IF(AND(G109=T$3,LEN(G109)&gt;1),1,0)</f>
        <v>0</v>
      </c>
      <c r="R109" s="97">
        <f>Doubles!G$3</f>
        <v>2</v>
      </c>
      <c r="S109" s="95">
        <f>IF(AND(H109=H$3,LEN(H109)&gt;1,Q109=1),1,0)</f>
        <v>0</v>
      </c>
      <c r="V109" s="97">
        <f>VLOOKUP(2,R108:S131,2,0)</f>
        <v>0</v>
      </c>
      <c r="W109" s="95">
        <v>2</v>
      </c>
    </row>
    <row r="110" spans="1:29">
      <c r="A110" s="95">
        <v>3</v>
      </c>
      <c r="B110" s="95">
        <f>IF(Doubles!E66="",0,Doubles!E66)</f>
        <v>0</v>
      </c>
      <c r="C110" s="99" t="str">
        <f>IF(OR(LEFT(B110,LEN(B$4))=B$4,LEFT(B110,LEN(C$4))=C$4,LEN(B110)&lt;2),"",IF(B110="no pick","","Wrong pick"))</f>
        <v/>
      </c>
      <c r="E110" s="95">
        <f t="shared" si="38"/>
        <v>1</v>
      </c>
      <c r="G110" s="95" t="str">
        <f>IF(B110=0,"",IF(B110="no pick","No Pick",IF(LEFT(B110,LEN(B$4))=B$4,B$4,C$4)))</f>
        <v/>
      </c>
      <c r="H110" s="95" t="str">
        <f t="shared" si="39"/>
        <v>0-0</v>
      </c>
      <c r="J110" s="97">
        <f>D$4</f>
        <v>1</v>
      </c>
      <c r="K110" s="95" t="str">
        <f t="shared" si="40"/>
        <v>SR</v>
      </c>
      <c r="L110" s="95" t="str">
        <f t="shared" si="41"/>
        <v>0</v>
      </c>
      <c r="M110" s="95" t="str">
        <f t="shared" si="42"/>
        <v>0</v>
      </c>
      <c r="N110" s="95" t="str">
        <f t="shared" si="43"/>
        <v>0</v>
      </c>
      <c r="O110" s="95" t="str">
        <f t="shared" si="44"/>
        <v>0</v>
      </c>
      <c r="P110" s="95" t="str">
        <f t="shared" si="45"/>
        <v>0</v>
      </c>
      <c r="Q110" s="95">
        <f>IF(AND(G110=T$4,LEN(G110)&gt;1),1,0)</f>
        <v>0</v>
      </c>
      <c r="R110" s="97">
        <f>Doubles!G$4</f>
        <v>3</v>
      </c>
      <c r="S110" s="95">
        <f>IF(AND(H110=H$4,LEN(H110)&gt;1,Q110=1),1,0)</f>
        <v>0</v>
      </c>
      <c r="V110" s="97">
        <f>VLOOKUP(3,R108:S131,2,0)</f>
        <v>0</v>
      </c>
      <c r="W110" s="95">
        <v>3</v>
      </c>
    </row>
    <row r="111" spans="1:29">
      <c r="A111" s="95">
        <v>4</v>
      </c>
      <c r="B111" s="95">
        <f>IF(Doubles!E67="",0,Doubles!E67)</f>
        <v>0</v>
      </c>
      <c r="C111" s="99" t="str">
        <f>IF(OR(LEFT(B111,LEN(B$5))=B$5,LEFT(B111,LEN(C$5))=C$5,LEN(B111)&lt;2),"",IF(B111="no pick","","Wrong pick"))</f>
        <v/>
      </c>
      <c r="E111" s="95">
        <f t="shared" si="38"/>
        <v>1</v>
      </c>
      <c r="G111" s="95" t="str">
        <f>IF(B111=0,"",IF(B111="no pick","No Pick",IF(LEFT(B111,LEN(B$5))=B$5,B$5,C$5)))</f>
        <v/>
      </c>
      <c r="H111" s="95" t="str">
        <f t="shared" si="39"/>
        <v>0-0</v>
      </c>
      <c r="J111" s="97">
        <f>D$5</f>
        <v>1</v>
      </c>
      <c r="K111" s="95" t="str">
        <f t="shared" si="40"/>
        <v>SR</v>
      </c>
      <c r="L111" s="95" t="str">
        <f t="shared" si="41"/>
        <v>0</v>
      </c>
      <c r="M111" s="95" t="str">
        <f t="shared" si="42"/>
        <v>0</v>
      </c>
      <c r="N111" s="95" t="str">
        <f t="shared" si="43"/>
        <v>0</v>
      </c>
      <c r="O111" s="95" t="str">
        <f t="shared" si="44"/>
        <v>0</v>
      </c>
      <c r="P111" s="95" t="str">
        <f t="shared" si="45"/>
        <v>0</v>
      </c>
      <c r="Q111" s="95">
        <f>IF(AND(G111=T$5,LEN(G111)&gt;1),1,0)</f>
        <v>0</v>
      </c>
      <c r="R111" s="97">
        <f>Doubles!G$5</f>
        <v>4</v>
      </c>
      <c r="S111" s="95">
        <f>IF(AND(H111=H$5,LEN(H111)&gt;1,Q111=1),1,0)</f>
        <v>0</v>
      </c>
      <c r="V111" s="97">
        <f>VLOOKUP(4,R108:S131,2,0)</f>
        <v>0</v>
      </c>
      <c r="W111" s="95">
        <v>4</v>
      </c>
    </row>
    <row r="112" spans="1:29">
      <c r="A112" s="95">
        <v>5</v>
      </c>
      <c r="B112" s="95">
        <f>IF(Doubles!E68="",0,Doubles!E68)</f>
        <v>0</v>
      </c>
      <c r="C112" s="99" t="str">
        <f>IF(OR(LEFT(B112,LEN(B$6))=B$6,LEFT(B112,LEN(C$6))=C$6,LEN(B112)&lt;2),"",IF(B112="no pick","","Wrong pick"))</f>
        <v/>
      </c>
      <c r="E112" s="95">
        <f t="shared" si="38"/>
        <v>1</v>
      </c>
      <c r="G112" s="95" t="str">
        <f>IF(B112=0,"",IF(B112="no pick","No Pick",IF(LEFT(B112,LEN(B$6))=B$6,B$6,C$6)))</f>
        <v/>
      </c>
      <c r="H112" s="95" t="str">
        <f t="shared" si="39"/>
        <v>0-0</v>
      </c>
      <c r="J112" s="97">
        <f>D$6</f>
        <v>1</v>
      </c>
      <c r="K112" s="95" t="str">
        <f t="shared" si="40"/>
        <v>SR</v>
      </c>
      <c r="L112" s="95" t="str">
        <f t="shared" si="41"/>
        <v>0</v>
      </c>
      <c r="M112" s="95" t="str">
        <f t="shared" si="42"/>
        <v>0</v>
      </c>
      <c r="N112" s="95" t="str">
        <f t="shared" si="43"/>
        <v>0</v>
      </c>
      <c r="O112" s="95" t="str">
        <f t="shared" si="44"/>
        <v>0</v>
      </c>
      <c r="P112" s="95" t="str">
        <f t="shared" si="45"/>
        <v>0</v>
      </c>
      <c r="Q112" s="95">
        <f>IF(AND(G112=T$6,LEN(G112)&gt;1),1,0)</f>
        <v>0</v>
      </c>
      <c r="R112" s="97">
        <f>Doubles!G$6</f>
        <v>5</v>
      </c>
      <c r="S112" s="95">
        <f>IF(AND(H112=H$6,LEN(H112)&gt;1,Q112=1),1,0)</f>
        <v>0</v>
      </c>
      <c r="V112" s="97">
        <f>VLOOKUP(5,R108:S131,2,0)</f>
        <v>0</v>
      </c>
      <c r="W112" s="95">
        <v>5</v>
      </c>
    </row>
    <row r="113" spans="1:23">
      <c r="A113" s="95">
        <v>6</v>
      </c>
      <c r="B113" s="95">
        <f>IF(Doubles!E69="",0,Doubles!E69)</f>
        <v>0</v>
      </c>
      <c r="C113" s="99" t="str">
        <f>IF(OR(LEFT(B113,LEN(B$7))=B$7,LEFT(B113,LEN(C$7))=C$7,LEN(B113)&lt;2),"",IF(B113="no pick","","Wrong pick"))</f>
        <v/>
      </c>
      <c r="E113" s="95">
        <f t="shared" si="38"/>
        <v>1</v>
      </c>
      <c r="G113" s="95" t="str">
        <f>IF(B113=0,"",IF(B113="no pick","No Pick",IF(LEFT(B113,LEN(B$7))=B$7,B$7,C$7)))</f>
        <v/>
      </c>
      <c r="H113" s="95" t="str">
        <f t="shared" si="39"/>
        <v>0-0</v>
      </c>
      <c r="J113" s="97">
        <f>D$7</f>
        <v>1</v>
      </c>
      <c r="K113" s="95" t="str">
        <f t="shared" si="40"/>
        <v>SR</v>
      </c>
      <c r="L113" s="95" t="str">
        <f t="shared" si="41"/>
        <v>0</v>
      </c>
      <c r="M113" s="95" t="str">
        <f t="shared" si="42"/>
        <v>0</v>
      </c>
      <c r="N113" s="95" t="str">
        <f t="shared" si="43"/>
        <v>0</v>
      </c>
      <c r="O113" s="95" t="str">
        <f t="shared" si="44"/>
        <v>0</v>
      </c>
      <c r="P113" s="95" t="str">
        <f t="shared" si="45"/>
        <v>0</v>
      </c>
      <c r="Q113" s="95">
        <f>IF(AND(G113=T$7,LEN(G113)&gt;1),1,0)</f>
        <v>0</v>
      </c>
      <c r="R113" s="97">
        <f>Doubles!G$7</f>
        <v>6</v>
      </c>
      <c r="S113" s="95">
        <f>IF(AND(H113=H$7,LEN(H113)&gt;1,Q113=1),1,0)</f>
        <v>0</v>
      </c>
      <c r="V113" s="97">
        <f>VLOOKUP(6,R108:S131,2,0)</f>
        <v>0</v>
      </c>
      <c r="W113" s="95">
        <v>6</v>
      </c>
    </row>
    <row r="114" spans="1:23">
      <c r="A114" s="95">
        <v>7</v>
      </c>
      <c r="B114" s="95">
        <f>IF(Doubles!E70="",0,Doubles!E70)</f>
        <v>0</v>
      </c>
      <c r="C114" s="99" t="str">
        <f>IF(OR(LEFT(B114,LEN(B$8))=B$8,LEFT(B114,LEN(C$8))=C$8,LEN(B114)&lt;2),"",IF(B114="no pick","","Wrong pick"))</f>
        <v/>
      </c>
      <c r="E114" s="95">
        <f t="shared" si="38"/>
        <v>1</v>
      </c>
      <c r="G114" s="95" t="str">
        <f>IF(B114=0,"",IF(B114="no pick","No Pick",IF(LEFT(B114,LEN(B$8))=B$8,B$8,C$8)))</f>
        <v/>
      </c>
      <c r="H114" s="95" t="str">
        <f t="shared" si="39"/>
        <v>0-0</v>
      </c>
      <c r="J114" s="97">
        <f>D$8</f>
        <v>1</v>
      </c>
      <c r="K114" s="95" t="str">
        <f t="shared" si="40"/>
        <v>SR</v>
      </c>
      <c r="L114" s="95" t="str">
        <f t="shared" si="41"/>
        <v>0</v>
      </c>
      <c r="M114" s="95" t="str">
        <f t="shared" si="42"/>
        <v>0</v>
      </c>
      <c r="N114" s="95" t="str">
        <f t="shared" si="43"/>
        <v>0</v>
      </c>
      <c r="O114" s="95" t="str">
        <f t="shared" si="44"/>
        <v>0</v>
      </c>
      <c r="P114" s="95" t="str">
        <f t="shared" si="45"/>
        <v>0</v>
      </c>
      <c r="Q114" s="95">
        <f>IF(AND(G114=T$8,LEN(G114)&gt;1),1,0)</f>
        <v>0</v>
      </c>
      <c r="R114" s="97">
        <f>Doubles!G$8</f>
        <v>7</v>
      </c>
      <c r="S114" s="95">
        <f>IF(AND(H114=H$8,LEN(H114)&gt;1,Q114=1),1,0)</f>
        <v>0</v>
      </c>
      <c r="V114" s="97">
        <f>VLOOKUP(7,R108:S131,2,0)</f>
        <v>0</v>
      </c>
      <c r="W114" s="95">
        <v>7</v>
      </c>
    </row>
    <row r="115" spans="1:23">
      <c r="A115" s="95">
        <v>8</v>
      </c>
      <c r="B115" s="95">
        <f>IF(Doubles!E71="",0,Doubles!E71)</f>
        <v>0</v>
      </c>
      <c r="C115" s="99" t="str">
        <f>IF(OR(LEFT(B115,LEN(B$9))=B$9,LEFT(B115,LEN(C$9))=C$9,LEN(B115)&lt;2),"",IF(B115="no pick","","Wrong pick"))</f>
        <v/>
      </c>
      <c r="E115" s="95">
        <f t="shared" si="38"/>
        <v>1</v>
      </c>
      <c r="G115" s="95" t="str">
        <f>IF(B115=0,"",IF(B115="no pick","No Pick",IF(LEFT(B115,LEN(B$9))=B$9,B$9,C$9)))</f>
        <v/>
      </c>
      <c r="H115" s="95" t="str">
        <f t="shared" si="39"/>
        <v>0-0</v>
      </c>
      <c r="J115" s="97">
        <f>D$9</f>
        <v>1</v>
      </c>
      <c r="K115" s="95" t="str">
        <f t="shared" si="40"/>
        <v>SR</v>
      </c>
      <c r="L115" s="95" t="str">
        <f t="shared" si="41"/>
        <v>0</v>
      </c>
      <c r="M115" s="95" t="str">
        <f t="shared" si="42"/>
        <v>0</v>
      </c>
      <c r="N115" s="95" t="str">
        <f t="shared" si="43"/>
        <v>0</v>
      </c>
      <c r="O115" s="95" t="str">
        <f t="shared" si="44"/>
        <v>0</v>
      </c>
      <c r="P115" s="95" t="str">
        <f t="shared" si="45"/>
        <v>0</v>
      </c>
      <c r="Q115" s="95">
        <f>IF(AND(G115=T$9,LEN(G115)&gt;1),1,0)</f>
        <v>0</v>
      </c>
      <c r="R115" s="97">
        <f>Doubles!G$9</f>
        <v>8</v>
      </c>
      <c r="S115" s="95">
        <f>IF(AND(H115=H$9,LEN(H115)&gt;1,Q115=1),1,0)</f>
        <v>0</v>
      </c>
      <c r="V115" s="97">
        <f>VLOOKUP(8,R108:S131,2,0)</f>
        <v>0</v>
      </c>
      <c r="W115" s="95">
        <v>8</v>
      </c>
    </row>
    <row r="116" spans="1:23">
      <c r="A116" s="95">
        <v>9</v>
      </c>
      <c r="B116" s="95">
        <f>IF(Doubles!E72="",0,Doubles!E72)</f>
        <v>0</v>
      </c>
      <c r="C116" s="99" t="str">
        <f>IF(OR(LEFT(B116,LEN(B$10))=B$10,LEFT(B116,LEN(C$10))=C$10,LEN(B116)&lt;2),"",IF(B116="no pick","","Wrong pick"))</f>
        <v/>
      </c>
      <c r="E116" s="95">
        <f t="shared" si="38"/>
        <v>1</v>
      </c>
      <c r="G116" s="95" t="str">
        <f>IF(B116=0,"",IF(B116="no pick","No Pick",IF(LEFT(B116,LEN(B$10))=B$10,B$10,C$10)))</f>
        <v/>
      </c>
      <c r="H116" s="95" t="str">
        <f t="shared" si="39"/>
        <v>0-0</v>
      </c>
      <c r="J116" s="97">
        <f>D$10</f>
        <v>1</v>
      </c>
      <c r="K116" s="95" t="str">
        <f t="shared" si="40"/>
        <v>SR</v>
      </c>
      <c r="L116" s="95" t="str">
        <f t="shared" si="41"/>
        <v>0</v>
      </c>
      <c r="M116" s="95" t="str">
        <f t="shared" si="42"/>
        <v>0</v>
      </c>
      <c r="N116" s="95" t="str">
        <f t="shared" si="43"/>
        <v>0</v>
      </c>
      <c r="O116" s="95" t="str">
        <f t="shared" si="44"/>
        <v>0</v>
      </c>
      <c r="P116" s="95" t="str">
        <f t="shared" si="45"/>
        <v>0</v>
      </c>
      <c r="Q116" s="95">
        <f>IF(AND(G116=T$10,LEN(G116)&gt;1),1,0)</f>
        <v>0</v>
      </c>
      <c r="R116" s="97">
        <f>Doubles!G$10</f>
        <v>9</v>
      </c>
      <c r="S116" s="95">
        <f>IF(AND(H116=H$10,LEN(H116)&gt;1,Q116=1),1,0)</f>
        <v>0</v>
      </c>
      <c r="V116" s="97">
        <f>VLOOKUP(9,R108:S131,2,0)</f>
        <v>0</v>
      </c>
      <c r="W116" s="95">
        <v>9</v>
      </c>
    </row>
    <row r="117" spans="1:23">
      <c r="A117" s="95">
        <v>10</v>
      </c>
      <c r="B117" s="95">
        <f>IF(Doubles!E73="",0,Doubles!E73)</f>
        <v>0</v>
      </c>
      <c r="C117" s="99" t="str">
        <f>IF(OR(LEFT(B117,LEN(B$11))=B$11,LEFT(B117,LEN(C$11))=C$11,LEN(B117)&lt;2),"",IF(B117="no pick","","Wrong pick"))</f>
        <v/>
      </c>
      <c r="E117" s="95">
        <f t="shared" si="38"/>
        <v>1</v>
      </c>
      <c r="G117" s="95" t="str">
        <f>IF(B117=0,"",IF(B117="no pick","No Pick",IF(LEFT(B117,LEN(B$11))=B$11,B$11,C$11)))</f>
        <v/>
      </c>
      <c r="H117" s="95" t="str">
        <f t="shared" si="39"/>
        <v>0-0</v>
      </c>
      <c r="J117" s="97">
        <f>D$11</f>
        <v>1</v>
      </c>
      <c r="K117" s="95" t="str">
        <f t="shared" si="40"/>
        <v>SR</v>
      </c>
      <c r="L117" s="95" t="str">
        <f t="shared" si="41"/>
        <v>0</v>
      </c>
      <c r="M117" s="95" t="str">
        <f t="shared" si="42"/>
        <v>0</v>
      </c>
      <c r="N117" s="95" t="str">
        <f t="shared" si="43"/>
        <v>0</v>
      </c>
      <c r="O117" s="95" t="str">
        <f t="shared" si="44"/>
        <v>0</v>
      </c>
      <c r="P117" s="95" t="str">
        <f t="shared" si="45"/>
        <v>0</v>
      </c>
      <c r="Q117" s="95">
        <f>IF(AND(G117=T$11,LEN(G117)&gt;1),1,0)</f>
        <v>0</v>
      </c>
      <c r="R117" s="97">
        <f>Doubles!G$11</f>
        <v>10</v>
      </c>
      <c r="S117" s="95">
        <f>IF(AND(H117=H$11,LEN(H117)&gt;1,Q117=1),1,0)</f>
        <v>0</v>
      </c>
      <c r="V117" s="97">
        <f>VLOOKUP(10,R108:S131,2,0)</f>
        <v>0</v>
      </c>
      <c r="W117" s="95">
        <v>10</v>
      </c>
    </row>
    <row r="118" spans="1:23">
      <c r="A118" s="95">
        <v>11</v>
      </c>
      <c r="B118" s="95">
        <f>IF(Doubles!E74="",0,Doubles!E74)</f>
        <v>0</v>
      </c>
      <c r="C118" s="99" t="str">
        <f>IF(OR(LEFT(B118,LEN(B$12))=B$12,LEFT(B118,LEN(C$12))=C$12,LEN(B118)&lt;2),"",IF(B118="no pick","","Wrong pick"))</f>
        <v/>
      </c>
      <c r="E118" s="95">
        <f t="shared" si="38"/>
        <v>1</v>
      </c>
      <c r="G118" s="95" t="str">
        <f>IF(B118=0,"",IF(B118="no pick","No Pick",IF(LEFT(B118,LEN(B$12))=B$12,B$12,C$12)))</f>
        <v/>
      </c>
      <c r="H118" s="95" t="str">
        <f t="shared" si="39"/>
        <v>0-0</v>
      </c>
      <c r="J118" s="97">
        <f>D$12</f>
        <v>1</v>
      </c>
      <c r="K118" s="95" t="str">
        <f t="shared" si="40"/>
        <v>SR</v>
      </c>
      <c r="L118" s="95" t="str">
        <f t="shared" si="41"/>
        <v>0</v>
      </c>
      <c r="M118" s="95" t="str">
        <f t="shared" si="42"/>
        <v>0</v>
      </c>
      <c r="N118" s="95" t="str">
        <f t="shared" si="43"/>
        <v>0</v>
      </c>
      <c r="O118" s="95" t="str">
        <f t="shared" si="44"/>
        <v>0</v>
      </c>
      <c r="P118" s="95" t="str">
        <f t="shared" si="45"/>
        <v>0</v>
      </c>
      <c r="Q118" s="95">
        <f>IF(AND(G118=T$12,LEN(G118)&gt;1),1,0)</f>
        <v>0</v>
      </c>
      <c r="R118" s="97">
        <f>Doubles!G$12</f>
        <v>11</v>
      </c>
      <c r="S118" s="95">
        <f>IF(AND(H118=H$12,LEN(H118)&gt;1,Q118=1),1,0)</f>
        <v>0</v>
      </c>
      <c r="V118" s="97">
        <f>VLOOKUP(11,R108:S131,2,0)</f>
        <v>0</v>
      </c>
      <c r="W118" s="95">
        <v>11</v>
      </c>
    </row>
    <row r="119" spans="1:23">
      <c r="A119" s="95">
        <v>12</v>
      </c>
      <c r="B119" s="95">
        <f>IF(Doubles!E75="",0,Doubles!E75)</f>
        <v>0</v>
      </c>
      <c r="C119" s="99" t="str">
        <f>IF(OR(LEFT(B119,LEN(B$13))=B$13,LEFT(B119,LEN(C$13))=C$13,LEN(B119)&lt;2),"",IF(B119="no pick","","Wrong pick"))</f>
        <v/>
      </c>
      <c r="E119" s="95">
        <f t="shared" si="38"/>
        <v>1</v>
      </c>
      <c r="G119" s="95" t="str">
        <f>IF(B119=0,"",IF(B119="no pick","No Pick",IF(LEFT(B119,LEN(B$13))=B$13,B$13,C$13)))</f>
        <v/>
      </c>
      <c r="H119" s="95" t="str">
        <f t="shared" si="39"/>
        <v>0-0</v>
      </c>
      <c r="J119" s="97">
        <f>D$13</f>
        <v>1</v>
      </c>
      <c r="K119" s="95" t="str">
        <f t="shared" si="40"/>
        <v>SR</v>
      </c>
      <c r="L119" s="95" t="str">
        <f t="shared" si="41"/>
        <v>0</v>
      </c>
      <c r="M119" s="95" t="str">
        <f t="shared" si="42"/>
        <v>0</v>
      </c>
      <c r="N119" s="95" t="str">
        <f t="shared" si="43"/>
        <v>0</v>
      </c>
      <c r="O119" s="95" t="str">
        <f t="shared" si="44"/>
        <v>0</v>
      </c>
      <c r="P119" s="95" t="str">
        <f t="shared" si="45"/>
        <v>0</v>
      </c>
      <c r="Q119" s="95">
        <f>IF(AND(G119=T$13,LEN(G119)&gt;1),1,0)</f>
        <v>0</v>
      </c>
      <c r="R119" s="97">
        <f>Doubles!G$13</f>
        <v>12</v>
      </c>
      <c r="S119" s="95">
        <f>IF(AND(H119=H$13,LEN(H119)&gt;1,Q119=1),1,0)</f>
        <v>0</v>
      </c>
      <c r="V119" s="97">
        <f>VLOOKUP(12,R108:S131,2,0)</f>
        <v>0</v>
      </c>
      <c r="W119" s="95">
        <v>12</v>
      </c>
    </row>
    <row r="120" spans="1:23">
      <c r="A120" s="95">
        <v>13</v>
      </c>
      <c r="B120" s="95">
        <f>IF(Doubles!E76="",0,Doubles!E76)</f>
        <v>0</v>
      </c>
      <c r="C120" s="99" t="str">
        <f>IF(OR(LEFT(B120,LEN(B$14))=B$14,LEFT(B120,LEN(C$14))=C$14,LEN(B120)&lt;2),"",IF(B120="no pick","","Wrong pick"))</f>
        <v/>
      </c>
      <c r="E120" s="95">
        <f t="shared" si="38"/>
        <v>1</v>
      </c>
      <c r="G120" s="95" t="str">
        <f>IF(B120=0,"",IF(B120="no pick","No Pick",IF(LEFT(B120,LEN(B$14))=B$14,B$14,C$14)))</f>
        <v/>
      </c>
      <c r="H120" s="95" t="str">
        <f t="shared" si="39"/>
        <v>0-0</v>
      </c>
      <c r="J120" s="97">
        <f>D$14</f>
        <v>1</v>
      </c>
      <c r="K120" s="95" t="str">
        <f t="shared" si="40"/>
        <v>SR</v>
      </c>
      <c r="L120" s="95" t="str">
        <f t="shared" si="41"/>
        <v>0</v>
      </c>
      <c r="M120" s="95" t="str">
        <f t="shared" si="42"/>
        <v>0</v>
      </c>
      <c r="N120" s="95" t="str">
        <f t="shared" si="43"/>
        <v>0</v>
      </c>
      <c r="O120" s="95" t="str">
        <f t="shared" si="44"/>
        <v>0</v>
      </c>
      <c r="P120" s="95" t="str">
        <f t="shared" si="45"/>
        <v>0</v>
      </c>
      <c r="Q120" s="95">
        <f>IF(AND(G120=T$14,LEN(G120)&gt;1),1,0)</f>
        <v>0</v>
      </c>
      <c r="R120" s="97">
        <f>Doubles!G$14</f>
        <v>13</v>
      </c>
      <c r="S120" s="95">
        <f>IF(AND(H120=H$14,LEN(H120)&gt;1,Q120=1),1,0)</f>
        <v>0</v>
      </c>
      <c r="V120" s="97">
        <f>VLOOKUP(13,R108:S131,2,0)</f>
        <v>0</v>
      </c>
      <c r="W120" s="95">
        <v>13</v>
      </c>
    </row>
    <row r="121" spans="1:23">
      <c r="A121" s="95">
        <v>14</v>
      </c>
      <c r="B121" s="95">
        <f>IF(Doubles!E77="",0,Doubles!E77)</f>
        <v>0</v>
      </c>
      <c r="C121" s="99" t="str">
        <f>IF(OR(LEFT(B121,LEN(B$15))=B$15,LEFT(B121,LEN(C$15))=C$15,LEN(B121)&lt;2),"",IF(B121="no pick","","Wrong pick"))</f>
        <v/>
      </c>
      <c r="E121" s="95">
        <f t="shared" si="38"/>
        <v>1</v>
      </c>
      <c r="G121" s="95" t="str">
        <f>IF(B121=0,"",IF(B121="no pick","No Pick",IF(LEFT(B121,LEN(B$15))=B$15,B$15,C$15)))</f>
        <v/>
      </c>
      <c r="H121" s="95" t="str">
        <f t="shared" si="39"/>
        <v>0-0</v>
      </c>
      <c r="J121" s="97">
        <f>D$15</f>
        <v>1</v>
      </c>
      <c r="K121" s="95" t="str">
        <f t="shared" si="40"/>
        <v>SR</v>
      </c>
      <c r="L121" s="95" t="str">
        <f t="shared" si="41"/>
        <v>0</v>
      </c>
      <c r="M121" s="95" t="str">
        <f t="shared" si="42"/>
        <v>0</v>
      </c>
      <c r="N121" s="95" t="str">
        <f t="shared" si="43"/>
        <v>0</v>
      </c>
      <c r="O121" s="95" t="str">
        <f t="shared" si="44"/>
        <v>0</v>
      </c>
      <c r="P121" s="95" t="str">
        <f t="shared" si="45"/>
        <v>0</v>
      </c>
      <c r="Q121" s="95">
        <f>IF(AND(G121=T$15,LEN(G121)&gt;1),1,0)</f>
        <v>0</v>
      </c>
      <c r="R121" s="97">
        <f>Doubles!G$15</f>
        <v>14</v>
      </c>
      <c r="S121" s="95">
        <f>IF(AND(H121=H$15,LEN(H121)&gt;1,Q121=1),1,0)</f>
        <v>0</v>
      </c>
      <c r="V121" s="97">
        <f>VLOOKUP(14,R108:S131,2,0)</f>
        <v>0</v>
      </c>
      <c r="W121" s="95">
        <v>14</v>
      </c>
    </row>
    <row r="122" spans="1:23">
      <c r="A122" s="95">
        <v>15</v>
      </c>
      <c r="B122" s="95">
        <f>IF(Doubles!E78="",0,Doubles!E78)</f>
        <v>0</v>
      </c>
      <c r="C122" s="99" t="str">
        <f>IF(OR(LEFT(B122,LEN(B$16))=B$16,LEFT(B122,LEN(C$16))=C$16,LEN(B122)&lt;2),"",IF(B122="no pick","","Wrong pick"))</f>
        <v/>
      </c>
      <c r="E122" s="95">
        <f t="shared" si="38"/>
        <v>1</v>
      </c>
      <c r="G122" s="95" t="str">
        <f>IF(B122=0,"",IF(B122="no pick","No Pick",IF(LEFT(B122,LEN(B$16))=B$16,B$16,C$16)))</f>
        <v/>
      </c>
      <c r="H122" s="95" t="str">
        <f t="shared" si="39"/>
        <v>0-0</v>
      </c>
      <c r="J122" s="97">
        <f>D$16</f>
        <v>1</v>
      </c>
      <c r="K122" s="95" t="str">
        <f t="shared" si="40"/>
        <v>SR</v>
      </c>
      <c r="L122" s="95" t="str">
        <f t="shared" si="41"/>
        <v>0</v>
      </c>
      <c r="M122" s="95" t="str">
        <f t="shared" si="42"/>
        <v>0</v>
      </c>
      <c r="N122" s="95" t="str">
        <f t="shared" si="43"/>
        <v>0</v>
      </c>
      <c r="O122" s="95" t="str">
        <f t="shared" si="44"/>
        <v>0</v>
      </c>
      <c r="P122" s="95" t="str">
        <f t="shared" si="45"/>
        <v>0</v>
      </c>
      <c r="Q122" s="95">
        <f>IF(AND(G122=T$16,LEN(G122)&gt;1),1,0)</f>
        <v>0</v>
      </c>
      <c r="R122" s="97">
        <f>Doubles!G$16</f>
        <v>15</v>
      </c>
      <c r="S122" s="95">
        <f>IF(AND(H122=H$16,LEN(H122)&gt;1,Q122=1),1,0)</f>
        <v>0</v>
      </c>
      <c r="V122" s="97">
        <f>VLOOKUP(15,R108:S131,2,0)</f>
        <v>0</v>
      </c>
      <c r="W122" s="95">
        <v>15</v>
      </c>
    </row>
    <row r="123" spans="1:23">
      <c r="A123" s="95">
        <v>16</v>
      </c>
      <c r="B123" s="95">
        <f>IF(Doubles!E79="",0,Doubles!E79)</f>
        <v>0</v>
      </c>
      <c r="C123" s="99" t="str">
        <f>IF(OR(LEFT(B123,LEN(B$17))=B$17,LEFT(B123,LEN(C$17))=C$17,LEN(B123)&lt;2),"",IF(B123="no pick","","Wrong pick"))</f>
        <v/>
      </c>
      <c r="E123" s="95">
        <f t="shared" si="38"/>
        <v>1</v>
      </c>
      <c r="G123" s="95" t="str">
        <f>IF(B123=0,"",IF(B123="no pick","No Pick",IF(LEFT(B123,LEN(B$17))=B$17,B$17,C$17)))</f>
        <v/>
      </c>
      <c r="H123" s="95" t="str">
        <f t="shared" si="39"/>
        <v>0-0</v>
      </c>
      <c r="J123" s="97">
        <f>D$17</f>
        <v>1</v>
      </c>
      <c r="K123" s="95" t="str">
        <f t="shared" si="40"/>
        <v>SR</v>
      </c>
      <c r="L123" s="95" t="str">
        <f t="shared" si="41"/>
        <v>0</v>
      </c>
      <c r="M123" s="95" t="str">
        <f t="shared" si="42"/>
        <v>0</v>
      </c>
      <c r="N123" s="95" t="str">
        <f t="shared" si="43"/>
        <v>0</v>
      </c>
      <c r="O123" s="95" t="str">
        <f t="shared" si="44"/>
        <v>0</v>
      </c>
      <c r="P123" s="95" t="str">
        <f t="shared" si="45"/>
        <v>0</v>
      </c>
      <c r="Q123" s="95">
        <f>IF(AND(G123=T$17,LEN(G123)&gt;1),1,0)</f>
        <v>0</v>
      </c>
      <c r="R123" s="97">
        <f>Doubles!G$17</f>
        <v>16</v>
      </c>
      <c r="S123" s="95">
        <f>IF(AND(H123=H$17,LEN(H123)&gt;1,Q123=1),1,0)</f>
        <v>0</v>
      </c>
      <c r="V123" s="97">
        <f>VLOOKUP(16,R108:S131,2,0)</f>
        <v>0</v>
      </c>
      <c r="W123" s="95">
        <v>16</v>
      </c>
    </row>
    <row r="124" spans="1:23">
      <c r="A124" s="95">
        <v>17</v>
      </c>
      <c r="B124" s="95">
        <f>IF(Doubles!E80="",0,Doubles!E80)</f>
        <v>0</v>
      </c>
      <c r="C124" s="99" t="str">
        <f>IF(OR(LEFT(B124,LEN(B$18))=B$18,LEFT(B124,LEN(C$18))=C$18,LEN(B124)&lt;2),"",IF(B124="no pick","","Wrong pick"))</f>
        <v/>
      </c>
      <c r="E124" s="95">
        <f t="shared" si="38"/>
        <v>0</v>
      </c>
      <c r="G124" s="95" t="str">
        <f>IF(B124=0,"",IF(B124="no pick","No Pick",IF(LEFT(B124,LEN(B$18))=B$18,B$18,C$18)))</f>
        <v/>
      </c>
      <c r="H124" s="95" t="str">
        <f t="shared" si="39"/>
        <v>0-0</v>
      </c>
      <c r="J124" s="95">
        <f>D$18</f>
        <v>0</v>
      </c>
      <c r="K124" s="95" t="str">
        <f t="shared" si="40"/>
        <v>SR</v>
      </c>
      <c r="L124" s="95" t="str">
        <f t="shared" si="41"/>
        <v>0</v>
      </c>
      <c r="M124" s="95" t="str">
        <f t="shared" si="42"/>
        <v>0</v>
      </c>
      <c r="N124" s="95" t="str">
        <f t="shared" si="43"/>
        <v>0</v>
      </c>
      <c r="O124" s="95" t="str">
        <f t="shared" si="44"/>
        <v>0</v>
      </c>
      <c r="P124" s="95" t="str">
        <f t="shared" si="45"/>
        <v>0</v>
      </c>
      <c r="Q124" s="95">
        <f>IF(AND(G124=T$18,LEN(G124)&gt;1),1,0)</f>
        <v>0</v>
      </c>
      <c r="R124" s="97">
        <f>Doubles!G$18</f>
        <v>17</v>
      </c>
      <c r="S124" s="95">
        <f>IF(AND(H124=H$18,LEN(H124)&gt;1,Q124=1),1,0)</f>
        <v>0</v>
      </c>
      <c r="V124" s="97">
        <f>VLOOKUP(17,R108:S131,2,0)</f>
        <v>0</v>
      </c>
      <c r="W124" s="95">
        <v>17</v>
      </c>
    </row>
    <row r="125" spans="1:23">
      <c r="A125" s="95">
        <v>18</v>
      </c>
      <c r="B125" s="95">
        <f>IF(Doubles!E81="",0,Doubles!E81)</f>
        <v>0</v>
      </c>
      <c r="C125" s="99" t="str">
        <f>IF(OR(LEFT(B125,LEN(B$19))=B$19,LEFT(B125,LEN(C$19))=C$19,LEN(B125)&lt;2),"",IF(B125="no pick","","Wrong pick"))</f>
        <v/>
      </c>
      <c r="E125" s="95">
        <f t="shared" si="38"/>
        <v>0</v>
      </c>
      <c r="G125" s="95" t="str">
        <f>IF(B125=0,"",IF(B125="no pick","No Pick",IF(LEFT(B125,LEN(B$19))=B$19,B$19,C$19)))</f>
        <v/>
      </c>
      <c r="H125" s="95" t="str">
        <f t="shared" si="39"/>
        <v>0-0</v>
      </c>
      <c r="J125" s="95">
        <f>D$19</f>
        <v>0</v>
      </c>
      <c r="K125" s="95" t="str">
        <f t="shared" si="40"/>
        <v>SR</v>
      </c>
      <c r="L125" s="95" t="str">
        <f t="shared" si="41"/>
        <v>0</v>
      </c>
      <c r="M125" s="95" t="str">
        <f t="shared" si="42"/>
        <v>0</v>
      </c>
      <c r="N125" s="95" t="str">
        <f t="shared" si="43"/>
        <v>0</v>
      </c>
      <c r="O125" s="95" t="str">
        <f t="shared" si="44"/>
        <v>0</v>
      </c>
      <c r="P125" s="95" t="str">
        <f t="shared" si="45"/>
        <v>0</v>
      </c>
      <c r="Q125" s="95">
        <f>IF(AND(G125=T$19,LEN(G125)&gt;1),1,0)</f>
        <v>0</v>
      </c>
      <c r="R125" s="97">
        <f>Doubles!G$19</f>
        <v>18</v>
      </c>
      <c r="S125" s="95">
        <f>IF(AND(H125=H$19,LEN(H125)&gt;1,Q125=1),1,0)</f>
        <v>0</v>
      </c>
      <c r="V125" s="97">
        <f>VLOOKUP(18,R108:S131,2,0)</f>
        <v>0</v>
      </c>
      <c r="W125" s="95">
        <v>18</v>
      </c>
    </row>
    <row r="126" spans="1:23">
      <c r="A126" s="95">
        <v>19</v>
      </c>
      <c r="B126" s="95">
        <f>IF(Doubles!E82="",0,Doubles!E82)</f>
        <v>0</v>
      </c>
      <c r="C126" s="99" t="str">
        <f>IF(OR(LEFT(B126,LEN(B$20))=B$20,LEFT(B126,LEN(C$20))=C$20,LEN(B126)&lt;2),"",IF(B126="no pick","","Wrong pick"))</f>
        <v/>
      </c>
      <c r="E126" s="95">
        <f t="shared" si="38"/>
        <v>0</v>
      </c>
      <c r="G126" s="95" t="str">
        <f>IF(B126=0,"",IF(B126="no pick","No Pick",IF(LEFT(B126,LEN(B$20))=B$20,B$20,C$20)))</f>
        <v/>
      </c>
      <c r="H126" s="95" t="str">
        <f t="shared" si="39"/>
        <v>0-0</v>
      </c>
      <c r="J126" s="95">
        <f>D$20</f>
        <v>0</v>
      </c>
      <c r="K126" s="95" t="str">
        <f t="shared" si="40"/>
        <v>SR</v>
      </c>
      <c r="L126" s="95" t="str">
        <f t="shared" si="41"/>
        <v>0</v>
      </c>
      <c r="M126" s="95" t="str">
        <f t="shared" si="42"/>
        <v>0</v>
      </c>
      <c r="N126" s="95" t="str">
        <f t="shared" si="43"/>
        <v>0</v>
      </c>
      <c r="O126" s="95" t="str">
        <f t="shared" si="44"/>
        <v>0</v>
      </c>
      <c r="P126" s="95" t="str">
        <f t="shared" si="45"/>
        <v>0</v>
      </c>
      <c r="Q126" s="95">
        <f>IF(AND(G126=T$20,LEN(G126)&gt;1),1,0)</f>
        <v>0</v>
      </c>
      <c r="R126" s="97">
        <f>Doubles!G$20</f>
        <v>19</v>
      </c>
      <c r="S126" s="95">
        <f>IF(AND(H126=H$20,LEN(H126)&gt;1,Q126=1),1,0)</f>
        <v>0</v>
      </c>
      <c r="V126" s="97">
        <f>VLOOKUP(19,R108:S131,2,0)</f>
        <v>0</v>
      </c>
      <c r="W126" s="95">
        <v>19</v>
      </c>
    </row>
    <row r="127" spans="1:23">
      <c r="A127" s="95">
        <v>20</v>
      </c>
      <c r="B127" s="95">
        <f>IF(Doubles!E83="",0,Doubles!E83)</f>
        <v>0</v>
      </c>
      <c r="C127" s="99" t="str">
        <f>IF(OR(LEFT(B127,LEN(B$21))=B$21,LEFT(B127,LEN(C$21))=C$21,LEN(B127)&lt;2),"",IF(B127="no pick","","Wrong pick"))</f>
        <v/>
      </c>
      <c r="E127" s="95">
        <f t="shared" si="38"/>
        <v>0</v>
      </c>
      <c r="G127" s="95" t="str">
        <f>IF(B127=0,"",IF(B127="no pick","No Pick",IF(LEFT(B127,LEN(B$21))=B$21,B$21,C$21)))</f>
        <v/>
      </c>
      <c r="H127" s="95" t="str">
        <f t="shared" si="39"/>
        <v>0-0</v>
      </c>
      <c r="J127" s="95">
        <f>D$21</f>
        <v>0</v>
      </c>
      <c r="K127" s="95" t="str">
        <f t="shared" si="40"/>
        <v>SR</v>
      </c>
      <c r="L127" s="95" t="str">
        <f t="shared" si="41"/>
        <v>0</v>
      </c>
      <c r="M127" s="95" t="str">
        <f t="shared" si="42"/>
        <v>0</v>
      </c>
      <c r="N127" s="95" t="str">
        <f t="shared" si="43"/>
        <v>0</v>
      </c>
      <c r="O127" s="95" t="str">
        <f t="shared" si="44"/>
        <v>0</v>
      </c>
      <c r="P127" s="95" t="str">
        <f t="shared" si="45"/>
        <v>0</v>
      </c>
      <c r="Q127" s="95">
        <f>IF(AND(G127=T$21,LEN(G127)&gt;1),1,0)</f>
        <v>0</v>
      </c>
      <c r="R127" s="97">
        <f>Doubles!G$21</f>
        <v>20</v>
      </c>
      <c r="S127" s="95">
        <f>IF(AND(H127=H$21,LEN(H127)&gt;1,Q127=1),1,0)</f>
        <v>0</v>
      </c>
      <c r="V127" s="97">
        <f>VLOOKUP(20,R108:S131,2,0)</f>
        <v>0</v>
      </c>
      <c r="W127" s="95">
        <v>20</v>
      </c>
    </row>
    <row r="128" spans="1:23">
      <c r="A128" s="95">
        <v>21</v>
      </c>
      <c r="B128" s="95">
        <f>IF(Doubles!E84="",0,Doubles!E84)</f>
        <v>0</v>
      </c>
      <c r="C128" s="99" t="str">
        <f>IF(OR(LEFT(B128,LEN(B$22))=B$22,LEFT(B128,LEN(C$22))=C$22,LEN(B128)&lt;2),"",IF(B128="no pick","","Wrong pick"))</f>
        <v/>
      </c>
      <c r="E128" s="95">
        <f t="shared" si="38"/>
        <v>0</v>
      </c>
      <c r="G128" s="95" t="str">
        <f>IF(B128=0,"",IF(B128="no pick","No Pick",IF(LEFT(B128,LEN(B$22))=B$22,B$22,C$22)))</f>
        <v/>
      </c>
      <c r="H128" s="95" t="str">
        <f t="shared" si="39"/>
        <v>0-0</v>
      </c>
      <c r="J128" s="95">
        <f>D$22</f>
        <v>0</v>
      </c>
      <c r="K128" s="95" t="str">
        <f t="shared" si="40"/>
        <v>SR</v>
      </c>
      <c r="L128" s="95" t="str">
        <f t="shared" si="41"/>
        <v>0</v>
      </c>
      <c r="M128" s="95" t="str">
        <f t="shared" si="42"/>
        <v>0</v>
      </c>
      <c r="N128" s="95" t="str">
        <f t="shared" si="43"/>
        <v>0</v>
      </c>
      <c r="O128" s="95" t="str">
        <f t="shared" si="44"/>
        <v>0</v>
      </c>
      <c r="P128" s="95" t="str">
        <f t="shared" si="45"/>
        <v>0</v>
      </c>
      <c r="Q128" s="95">
        <f>IF(AND(G128=T$22,LEN(G128)&gt;1),1,0)</f>
        <v>0</v>
      </c>
      <c r="R128" s="97">
        <f>Doubles!G$22</f>
        <v>21</v>
      </c>
      <c r="S128" s="95">
        <f>IF(AND(H128=H$22,LEN(H128)&gt;1,Q128=1),1,0)</f>
        <v>0</v>
      </c>
      <c r="V128" s="97">
        <f>VLOOKUP(21,R108:S131,2,0)</f>
        <v>0</v>
      </c>
      <c r="W128" s="95">
        <v>21</v>
      </c>
    </row>
    <row r="129" spans="1:29">
      <c r="A129" s="95">
        <v>22</v>
      </c>
      <c r="B129" s="95">
        <f>IF(Doubles!E85="",0,Doubles!E85)</f>
        <v>0</v>
      </c>
      <c r="C129" s="99" t="str">
        <f>IF(OR(LEFT(B129,LEN(B$23))=B$23,LEFT(B129,LEN(C$23))=C$23,LEN(B129)&lt;2),"",IF(B129="no pick","","Wrong pick"))</f>
        <v/>
      </c>
      <c r="E129" s="95">
        <f t="shared" si="38"/>
        <v>0</v>
      </c>
      <c r="G129" s="95" t="str">
        <f>IF(B129=0,"",IF(B129="no pick","No Pick",IF(LEFT(B129,LEN(B$23))=B$23,B$23,C$23)))</f>
        <v/>
      </c>
      <c r="H129" s="95" t="str">
        <f t="shared" si="39"/>
        <v>0-0</v>
      </c>
      <c r="J129" s="95">
        <f>D$23</f>
        <v>0</v>
      </c>
      <c r="K129" s="95" t="str">
        <f t="shared" si="40"/>
        <v>SR</v>
      </c>
      <c r="L129" s="95" t="str">
        <f t="shared" si="41"/>
        <v>0</v>
      </c>
      <c r="M129" s="95" t="str">
        <f t="shared" si="42"/>
        <v>0</v>
      </c>
      <c r="N129" s="95" t="str">
        <f t="shared" si="43"/>
        <v>0</v>
      </c>
      <c r="O129" s="95" t="str">
        <f t="shared" si="44"/>
        <v>0</v>
      </c>
      <c r="P129" s="95" t="str">
        <f t="shared" si="45"/>
        <v>0</v>
      </c>
      <c r="Q129" s="95">
        <f>IF(AND(G129=T$23,LEN(G129)&gt;1),1,0)</f>
        <v>0</v>
      </c>
      <c r="R129" s="97">
        <f>Doubles!G$23</f>
        <v>22</v>
      </c>
      <c r="S129" s="95">
        <f>IF(AND(H129=H$23,LEN(H129)&gt;1,Q129=1),1,0)</f>
        <v>0</v>
      </c>
      <c r="V129" s="97">
        <f>VLOOKUP(22,R108:S131,2,0)</f>
        <v>0</v>
      </c>
      <c r="W129" s="95">
        <v>22</v>
      </c>
    </row>
    <row r="130" spans="1:29">
      <c r="A130" s="95">
        <v>23</v>
      </c>
      <c r="B130" s="95">
        <f>IF(Doubles!E86="",0,Doubles!E86)</f>
        <v>0</v>
      </c>
      <c r="C130" s="99" t="str">
        <f>IF(OR(LEFT(B130,LEN(B$24))=B$24,LEFT(B130,LEN(C$24))=C$24,LEN(B130)&lt;2),"",IF(B130="no pick","","Wrong pick"))</f>
        <v/>
      </c>
      <c r="E130" s="95">
        <f t="shared" si="38"/>
        <v>0</v>
      </c>
      <c r="G130" s="95" t="str">
        <f>IF(B130=0,"",IF(B130="no pick","No Pick",IF(LEFT(B130,LEN(B$24))=B$24,B$24,C$24)))</f>
        <v/>
      </c>
      <c r="H130" s="95" t="str">
        <f t="shared" si="39"/>
        <v>0-0</v>
      </c>
      <c r="J130" s="95">
        <f>D$24</f>
        <v>0</v>
      </c>
      <c r="K130" s="95" t="str">
        <f t="shared" si="40"/>
        <v>SR</v>
      </c>
      <c r="L130" s="95" t="str">
        <f t="shared" si="41"/>
        <v>0</v>
      </c>
      <c r="M130" s="95" t="str">
        <f t="shared" si="42"/>
        <v>0</v>
      </c>
      <c r="N130" s="95" t="str">
        <f t="shared" si="43"/>
        <v>0</v>
      </c>
      <c r="O130" s="95" t="str">
        <f t="shared" si="44"/>
        <v>0</v>
      </c>
      <c r="P130" s="95" t="str">
        <f t="shared" si="45"/>
        <v>0</v>
      </c>
      <c r="Q130" s="95">
        <f>IF(AND(G130=T$24,LEN(G130)&gt;1),1,0)</f>
        <v>0</v>
      </c>
      <c r="R130" s="97">
        <f>Doubles!G$24</f>
        <v>23</v>
      </c>
      <c r="S130" s="95">
        <f>IF(AND(H130=H$24,LEN(H130)&gt;1,Q130=1),1,0)</f>
        <v>0</v>
      </c>
      <c r="V130" s="97">
        <f>VLOOKUP(23,R108:S131,2,0)</f>
        <v>0</v>
      </c>
      <c r="W130" s="95">
        <v>23</v>
      </c>
    </row>
    <row r="131" spans="1:29">
      <c r="A131" s="95">
        <v>24</v>
      </c>
      <c r="B131" s="95">
        <f>IF(Doubles!E87="",0,Doubles!E87)</f>
        <v>0</v>
      </c>
      <c r="C131" s="99" t="str">
        <f>IF(OR(LEFT(B131,LEN(B$25))=B$25,LEFT(B131,LEN(C$25))=C$25,LEN(B131)&lt;2),"",IF(B131="no pick","","Wrong pick"))</f>
        <v/>
      </c>
      <c r="E131" s="95">
        <f t="shared" si="38"/>
        <v>0</v>
      </c>
      <c r="G131" s="95" t="str">
        <f>IF(B131=0,"",IF(B131="no pick","No Pick",IF(LEFT(B131,LEN(B$25))=B$25,B$25,C$25)))</f>
        <v/>
      </c>
      <c r="H131" s="95" t="str">
        <f t="shared" si="39"/>
        <v>0-0</v>
      </c>
      <c r="J131" s="95">
        <f>D$25</f>
        <v>0</v>
      </c>
      <c r="K131" s="95" t="str">
        <f t="shared" si="40"/>
        <v>SR</v>
      </c>
      <c r="L131" s="95" t="str">
        <f t="shared" si="41"/>
        <v>0</v>
      </c>
      <c r="M131" s="95" t="str">
        <f t="shared" si="42"/>
        <v>0</v>
      </c>
      <c r="N131" s="95" t="str">
        <f t="shared" si="43"/>
        <v>0</v>
      </c>
      <c r="O131" s="95" t="str">
        <f t="shared" si="44"/>
        <v>0</v>
      </c>
      <c r="P131" s="95" t="str">
        <f t="shared" si="45"/>
        <v>0</v>
      </c>
      <c r="Q131" s="95">
        <f>IF(AND(G131=T$25,LEN(G131)&gt;1),1,0)</f>
        <v>0</v>
      </c>
      <c r="R131" s="97">
        <f>Doubles!G$25</f>
        <v>24</v>
      </c>
      <c r="S131" s="95">
        <f>IF(AND(H131=H$25,LEN(H131)&gt;1,Q131=1),1,0)</f>
        <v>0</v>
      </c>
      <c r="V131" s="97">
        <f>VLOOKUP(24,R108:S131,2,0)</f>
        <v>0</v>
      </c>
      <c r="W131" s="95">
        <v>24</v>
      </c>
    </row>
    <row r="132" spans="1:29">
      <c r="A132" s="106"/>
      <c r="B132" s="106"/>
      <c r="C132" s="107"/>
      <c r="D132" s="106"/>
      <c r="E132" s="106"/>
      <c r="Q132" s="106"/>
      <c r="R132" s="106"/>
      <c r="S132" s="106"/>
      <c r="W132" s="95">
        <v>25</v>
      </c>
    </row>
    <row r="133" spans="1:29">
      <c r="A133" s="95" t="str">
        <f>IF(LEN(VLOOKUP(B133,Doubles!$A$2:$D$17,4,0))&gt;0,VLOOKUP(B133,Doubles!$A$2:$D$17,4,0),"")</f>
        <v/>
      </c>
      <c r="B133" s="96" t="str">
        <f>Doubles!F63</f>
        <v>gabrieltufao</v>
      </c>
      <c r="C133" s="96">
        <v>1</v>
      </c>
      <c r="D133" s="95" t="str">
        <f>VLOOKUP(B133,Doubles!$A$2:$E$17,5,0)</f>
        <v>BRA</v>
      </c>
      <c r="E133" s="95" t="s">
        <v>124</v>
      </c>
      <c r="J133" s="95" t="s">
        <v>88</v>
      </c>
      <c r="Q133" s="95" t="s">
        <v>121</v>
      </c>
      <c r="S133" s="95" t="s">
        <v>122</v>
      </c>
      <c r="T133" s="95" t="str">
        <f>IF(LEN(A133)&gt;0,"("&amp;A133&amp;") "&amp;B133,B133)</f>
        <v>gabrieltufao</v>
      </c>
      <c r="V133" s="95" t="s">
        <v>122</v>
      </c>
      <c r="W133" s="95" t="str">
        <f>""</f>
        <v/>
      </c>
    </row>
    <row r="134" spans="1:29">
      <c r="A134" s="95">
        <v>1</v>
      </c>
      <c r="B134" s="95">
        <f>IF(Doubles!F64="",0,Doubles!F64)</f>
        <v>0</v>
      </c>
      <c r="C134" s="99" t="str">
        <f>IF(OR(LEFT(B134,LEN(B$2))=B$2,LEFT(B134,LEN(C$2))=C$2,LEN(B134)&lt;2),"",IF(B134="no pick","","Wrong pick"))</f>
        <v/>
      </c>
      <c r="D134" s="95">
        <f t="shared" ref="D134:D157" si="46">IF(G134=G160,0,1)</f>
        <v>0</v>
      </c>
      <c r="E134" s="95">
        <f t="shared" ref="E134:E157" si="47">IF(AND($I$2=J134,B134=0),1,0)</f>
        <v>1</v>
      </c>
      <c r="F134" s="95" t="str">
        <f>IF(AND(SUM(E134:E157)=$I$4,NOT(B133="Bye")),"Missing picks from "&amp;B133&amp;" ","")</f>
        <v xml:space="preserve">Missing picks from gabrieltufao </v>
      </c>
      <c r="G134" s="95" t="str">
        <f>IF(B134=0,"",IF(B134="no pick","No Pick",IF(LEFT(B134,LEN(B$2))=B$2,B$2,C$2)))</f>
        <v/>
      </c>
      <c r="H134" s="95" t="str">
        <f t="shared" ref="H134:H157" si="48">IF(L134="","",IF(K134="PTS",IF(LEN(O134)&lt;8,"2-0","2-1"),LEFT(O134,1)&amp;"-"&amp;RIGHT(O134,1)))</f>
        <v>0-0</v>
      </c>
      <c r="I134" s="95" t="str">
        <f>IF(AND(J134=$I$2,F$2=0,NOT(E$2="")),IF(OR(AND(Y134=AA134,Z134=AB134),AND(Y134=AB134,Z134=AA134)),"",IF(AND(Y134=Z134,AA134=AB134),Y134&amp;" +2 v. "&amp;AA134&amp;" +2, ",IF(Y134=AA134,Z134&amp;" v. "&amp;AB134&amp;", ",IF(Z134=AB134,Y134&amp;" v. "&amp;AA134&amp;", ",IF(Y134=AB134,Z134&amp;" v. "&amp;AA134&amp;", ",IF(Z134=AA134,Y134&amp;" v. "&amp;AB134&amp;", ",Y134&amp;" v. "&amp;AA134&amp;", "&amp;Z134&amp;" v. "&amp;AB134&amp;", ")))))),"")</f>
        <v/>
      </c>
      <c r="J134" s="97">
        <f>D$2</f>
        <v>1</v>
      </c>
      <c r="K134" s="95" t="str">
        <f t="shared" ref="K134:K157" si="49">IF(LEN(L134)&gt;0,IF(LEN(O134)&lt;4,"SR","PTS"),"")</f>
        <v>SR</v>
      </c>
      <c r="L134" s="95" t="str">
        <f t="shared" ref="L134:L157" si="50">TRIM(RIGHT(B134,LEN(B134)-LEN(G134)))</f>
        <v>0</v>
      </c>
      <c r="M134" s="95" t="str">
        <f t="shared" ref="M134:M157" si="51">SUBSTITUTE(L134,"-","")</f>
        <v>0</v>
      </c>
      <c r="N134" s="95" t="str">
        <f t="shared" ref="N134:N157" si="52">SUBSTITUTE(M134,","," ")</f>
        <v>0</v>
      </c>
      <c r="O134" s="95" t="str">
        <f t="shared" ref="O134:O157" si="53">IF(AND(LEN(TRIM(SUBSTITUTE(P134,"/","")))&gt;6,OR(LEFT(TRIM(SUBSTITUTE(P134,"/","")),2)="20",LEFT(TRIM(SUBSTITUTE(P134,"/","")),2)="21")),RIGHT(TRIM(SUBSTITUTE(P134,"/","")),LEN(TRIM(SUBSTITUTE(P134,"/","")))-3),TRIM(SUBSTITUTE(P134,"/","")))</f>
        <v>0</v>
      </c>
      <c r="P134" s="95" t="str">
        <f t="shared" ref="P134:P157" si="54">SUBSTITUTE(N134,":","")</f>
        <v>0</v>
      </c>
      <c r="Q134" s="95">
        <f>IF(AND(G134=T$2,LEN(G134)&gt;1),1,0)</f>
        <v>0</v>
      </c>
      <c r="R134" s="97">
        <f>Doubles!G$2</f>
        <v>1</v>
      </c>
      <c r="S134" s="95">
        <f>IF(AND(H134=H$2,LEN(H134)&gt;1,Q134=1),1,0)</f>
        <v>0</v>
      </c>
      <c r="T134" s="95" t="str">
        <f>" SR Differences: "&amp;IF(LEN(I134&amp;I135&amp;I136&amp;I137&amp;I138&amp;I139&amp;I140&amp;I141&amp;I142&amp;I143&amp;I144&amp;I145&amp;I146&amp;I147&amp;I148&amp;I149&amp;I150&amp;I151&amp;I152&amp;I153&amp;I154&amp;I155&amp;I156&amp;I157)&lt;3,"None..",I134&amp;I135&amp;I136&amp;I137&amp;I138&amp;I139&amp;I140&amp;I141&amp;I142&amp;I143&amp;I144&amp;I145&amp;I146&amp;I147&amp;I148&amp;I149&amp;I150&amp;I151&amp;I152&amp;I153&amp;I154&amp;I155&amp;I156&amp;I157)</f>
        <v xml:space="preserve"> SR Differences: None..</v>
      </c>
      <c r="V134" s="97">
        <f>VLOOKUP(1,R134:S157,2,0)</f>
        <v>0</v>
      </c>
      <c r="W134" s="95" t="str">
        <f t="shared" ref="W134:W157" si="55">IF(J134=$I$2,IF(OR(G134&amp;G186=G160&amp;G212,G134&amp;G186=G212&amp;G160),"",IF(G134=G186,G134,IF(OR(G134=G160,G134=G212),G186,IF(OR(G186=G160,G186=G212),G134,G134&amp;", "&amp;G186)))),"")</f>
        <v/>
      </c>
      <c r="X134" s="95">
        <f>IF(F$2=0,IF(AND(G134=G186,NOT(G134=G160),NOT(G134=G212),LEN(W134)&gt;0),2,IF(LEN(W134)=0,0,1)),0)</f>
        <v>0</v>
      </c>
      <c r="Y134" s="95" t="str">
        <f t="shared" ref="Y134:Y157" si="56">G134&amp;" "&amp;H134</f>
        <v xml:space="preserve"> 0-0</v>
      </c>
      <c r="Z134" s="95" t="str">
        <f t="shared" ref="Z134:Z157" si="57">G186&amp;" "&amp;H186</f>
        <v xml:space="preserve"> 0-0</v>
      </c>
      <c r="AA134" s="95" t="str">
        <f t="shared" ref="AA134:AA157" si="58">G160&amp;" "&amp;H160</f>
        <v xml:space="preserve"> 0-0</v>
      </c>
      <c r="AB134" s="95" t="str">
        <f t="shared" ref="AB134:AB157" si="59">G212&amp;" "&amp;H212</f>
        <v xml:space="preserve"> 0-0</v>
      </c>
      <c r="AC134" s="95" t="str">
        <f>IF(AND(LEN(W134)&gt;0,F$2=0),IF(X134=2,W134&amp;" +2, ",W134&amp;", "),"")</f>
        <v/>
      </c>
    </row>
    <row r="135" spans="1:29">
      <c r="A135" s="95">
        <v>2</v>
      </c>
      <c r="B135" s="95">
        <f>IF(Doubles!F65="",0,Doubles!F65)</f>
        <v>0</v>
      </c>
      <c r="C135" s="99" t="str">
        <f>IF(OR(LEFT(B135,LEN(B$3))=B$3,LEFT(B135,LEN(C$3))=C$3,LEN(B135)&lt;2),"",IF(B135="no pick","","Wrong pick"))</f>
        <v/>
      </c>
      <c r="D135" s="95">
        <f t="shared" si="46"/>
        <v>0</v>
      </c>
      <c r="E135" s="95">
        <f t="shared" si="47"/>
        <v>1</v>
      </c>
      <c r="G135" s="95" t="str">
        <f>IF(B135=0,"",IF(B135="no pick","No Pick",IF(LEFT(B135,LEN(B$3))=B$3,B$3,C$3)))</f>
        <v/>
      </c>
      <c r="H135" s="95" t="str">
        <f t="shared" si="48"/>
        <v>0-0</v>
      </c>
      <c r="I135" s="95" t="str">
        <f>IF(AND(J135=$I$2,F$3=0,NOT(E$3="")),IF(OR(AND(Y135=AA135,Z135=AB135),AND(Y135=AB135,Z135=AA135)),"",IF(AND(Y135=Z135,AA135=AB135),Y135&amp;" +2 v. "&amp;AA135&amp;" +2, ",IF(Y135=AA135,Z135&amp;" v. "&amp;AB135&amp;", ",IF(Z135=AB135,Y135&amp;" v. "&amp;AA135&amp;", ",IF(Y135=AB135,Z135&amp;" v. "&amp;AA135&amp;", ",IF(Z135=AA135,Y135&amp;" v. "&amp;AB135&amp;", ",Y135&amp;" v. "&amp;AA135&amp;", "&amp;Z135&amp;" v. "&amp;AB135&amp;", ")))))),"")</f>
        <v/>
      </c>
      <c r="J135" s="97">
        <f>D$3</f>
        <v>1</v>
      </c>
      <c r="K135" s="95" t="str">
        <f t="shared" si="49"/>
        <v>SR</v>
      </c>
      <c r="L135" s="95" t="str">
        <f t="shared" si="50"/>
        <v>0</v>
      </c>
      <c r="M135" s="95" t="str">
        <f t="shared" si="51"/>
        <v>0</v>
      </c>
      <c r="N135" s="95" t="str">
        <f t="shared" si="52"/>
        <v>0</v>
      </c>
      <c r="O135" s="95" t="str">
        <f t="shared" si="53"/>
        <v>0</v>
      </c>
      <c r="P135" s="95" t="str">
        <f t="shared" si="54"/>
        <v>0</v>
      </c>
      <c r="Q135" s="95">
        <f>IF(AND(G135=T$3,LEN(G135)&gt;1),1,0)</f>
        <v>0</v>
      </c>
      <c r="R135" s="97">
        <f>Doubles!G$3</f>
        <v>2</v>
      </c>
      <c r="S135" s="95">
        <f>IF(AND(H135=H$3,LEN(H135)&gt;1,Q135=1),1,0)</f>
        <v>0</v>
      </c>
      <c r="V135" s="97">
        <f>VLOOKUP(2,R134:S157,2,0)</f>
        <v>0</v>
      </c>
      <c r="W135" s="95" t="str">
        <f t="shared" si="55"/>
        <v/>
      </c>
      <c r="X135" s="95">
        <f>IF(F$3=0,IF(AND(G135=G187,NOT(G135=G161),NOT(G135=G213),LEN(W135)&gt;0),2,IF(LEN(W135)=0,0,1)),0)</f>
        <v>0</v>
      </c>
      <c r="Y135" s="95" t="str">
        <f t="shared" si="56"/>
        <v xml:space="preserve"> 0-0</v>
      </c>
      <c r="Z135" s="95" t="str">
        <f t="shared" si="57"/>
        <v xml:space="preserve"> 0-0</v>
      </c>
      <c r="AA135" s="95" t="str">
        <f t="shared" si="58"/>
        <v xml:space="preserve"> 0-0</v>
      </c>
      <c r="AB135" s="95" t="str">
        <f t="shared" si="59"/>
        <v xml:space="preserve"> 0-0</v>
      </c>
      <c r="AC135" s="95" t="str">
        <f>IF(AND(LEN(W135)&gt;0,F$3=0),IF(X135=2,W135&amp;" +2, ",W135&amp;", "),"")</f>
        <v/>
      </c>
    </row>
    <row r="136" spans="1:29">
      <c r="A136" s="95">
        <v>3</v>
      </c>
      <c r="B136" s="95">
        <f>IF(Doubles!F66="",0,Doubles!F66)</f>
        <v>0</v>
      </c>
      <c r="C136" s="99" t="str">
        <f>IF(OR(LEFT(B136,LEN(B$4))=B$4,LEFT(B136,LEN(C$4))=C$4,LEN(B136)&lt;2),"",IF(B136="no pick","","Wrong pick"))</f>
        <v/>
      </c>
      <c r="D136" s="95">
        <f t="shared" si="46"/>
        <v>0</v>
      </c>
      <c r="E136" s="95">
        <f t="shared" si="47"/>
        <v>1</v>
      </c>
      <c r="G136" s="95" t="str">
        <f>IF(B136=0,"",IF(B136="no pick","No Pick",IF(LEFT(B136,LEN(B$4))=B$4,B$4,C$4)))</f>
        <v/>
      </c>
      <c r="H136" s="95" t="str">
        <f t="shared" si="48"/>
        <v>0-0</v>
      </c>
      <c r="I136" s="95" t="str">
        <f>IF(AND(J136=$I$2,F$4=0,NOT(E$4="")),IF(OR(AND(Y136=AA136,Z136=AB136),AND(Y136=AB136,Z136=AA136)),"",IF(AND(Y136=Z136,AA136=AB136),Y136&amp;" +2 v. "&amp;AA136&amp;" +2, ",IF(Y136=AA136,Z136&amp;" v. "&amp;AB136&amp;", ",IF(Z136=AB136,Y136&amp;" v. "&amp;AA136&amp;", ",IF(Y136=AB136,Z136&amp;" v. "&amp;AA136&amp;", ",IF(Z136=AA136,Y136&amp;" v. "&amp;AB136&amp;", ",Y136&amp;" v. "&amp;AA136&amp;", "&amp;Z136&amp;" v. "&amp;AB136&amp;", ")))))),"")</f>
        <v/>
      </c>
      <c r="J136" s="97">
        <f>D$4</f>
        <v>1</v>
      </c>
      <c r="K136" s="95" t="str">
        <f t="shared" si="49"/>
        <v>SR</v>
      </c>
      <c r="L136" s="95" t="str">
        <f t="shared" si="50"/>
        <v>0</v>
      </c>
      <c r="M136" s="95" t="str">
        <f t="shared" si="51"/>
        <v>0</v>
      </c>
      <c r="N136" s="95" t="str">
        <f t="shared" si="52"/>
        <v>0</v>
      </c>
      <c r="O136" s="95" t="str">
        <f t="shared" si="53"/>
        <v>0</v>
      </c>
      <c r="P136" s="95" t="str">
        <f t="shared" si="54"/>
        <v>0</v>
      </c>
      <c r="Q136" s="95">
        <f>IF(AND(G136=T$4,LEN(G136)&gt;1),1,0)</f>
        <v>0</v>
      </c>
      <c r="R136" s="97">
        <f>Doubles!G$4</f>
        <v>3</v>
      </c>
      <c r="S136" s="95">
        <f>IF(AND(H136=H$4,LEN(H136)&gt;1,Q136=1),1,0)</f>
        <v>0</v>
      </c>
      <c r="T136" s="101">
        <f>SUMIF(J134:J157,$I$2,X134:X157)</f>
        <v>0</v>
      </c>
      <c r="V136" s="97">
        <f>VLOOKUP(3,R134:S157,2,0)</f>
        <v>0</v>
      </c>
      <c r="W136" s="95" t="str">
        <f t="shared" si="55"/>
        <v/>
      </c>
      <c r="X136" s="95">
        <f>IF(F$4=0,IF(AND(G136=G188,NOT(G136=G162),NOT(G136=G214),LEN(W136)&gt;0),2,IF(LEN(W136)=0,0,1)),0)</f>
        <v>0</v>
      </c>
      <c r="Y136" s="95" t="str">
        <f t="shared" si="56"/>
        <v xml:space="preserve"> 0-0</v>
      </c>
      <c r="Z136" s="95" t="str">
        <f t="shared" si="57"/>
        <v xml:space="preserve"> 0-0</v>
      </c>
      <c r="AA136" s="95" t="str">
        <f t="shared" si="58"/>
        <v xml:space="preserve"> 0-0</v>
      </c>
      <c r="AB136" s="95" t="str">
        <f t="shared" si="59"/>
        <v xml:space="preserve"> 0-0</v>
      </c>
      <c r="AC136" s="95" t="str">
        <f>IF(AND(LEN(W136)&gt;0,F$4=0),IF(X136=2,W136&amp;" +2, ",W136&amp;", "),"")</f>
        <v/>
      </c>
    </row>
    <row r="137" spans="1:29">
      <c r="A137" s="95">
        <v>4</v>
      </c>
      <c r="B137" s="95">
        <f>IF(Doubles!F67="",0,Doubles!F67)</f>
        <v>0</v>
      </c>
      <c r="C137" s="99" t="str">
        <f>IF(OR(LEFT(B137,LEN(B$5))=B$5,LEFT(B137,LEN(C$5))=C$5,LEN(B137)&lt;2),"",IF(B137="no pick","","Wrong pick"))</f>
        <v/>
      </c>
      <c r="D137" s="95">
        <f t="shared" si="46"/>
        <v>0</v>
      </c>
      <c r="E137" s="95">
        <f t="shared" si="47"/>
        <v>1</v>
      </c>
      <c r="G137" s="95" t="str">
        <f>IF(B137=0,"",IF(B137="no pick","No Pick",IF(LEFT(B137,LEN(B$5))=B$5,B$5,C$5)))</f>
        <v/>
      </c>
      <c r="H137" s="95" t="str">
        <f t="shared" si="48"/>
        <v>0-0</v>
      </c>
      <c r="I137" s="95" t="str">
        <f>IF(AND(J137=$I$2,F$5=0,NOT(E$5="")),IF(OR(AND(Y137=AA137,Z137=AB137),AND(Y137=AB137,Z137=AA137)),"",IF(AND(Y137=Z137,AA137=AB137),Y137&amp;" +2 v. "&amp;AA137&amp;" +2, ",IF(Y137=AA137,Z137&amp;" v. "&amp;AB137&amp;", ",IF(Z137=AB137,Y137&amp;" v. "&amp;AA137&amp;", ",IF(Y137=AB137,Z137&amp;" v. "&amp;AA137&amp;", ",IF(Z137=AA137,Y137&amp;" v. "&amp;AB137&amp;", ",Y137&amp;" v. "&amp;AA137&amp;", "&amp;Z137&amp;" v. "&amp;AB137&amp;", ")))))),"")</f>
        <v/>
      </c>
      <c r="J137" s="97">
        <f>D$5</f>
        <v>1</v>
      </c>
      <c r="K137" s="95" t="str">
        <f t="shared" si="49"/>
        <v>SR</v>
      </c>
      <c r="L137" s="95" t="str">
        <f t="shared" si="50"/>
        <v>0</v>
      </c>
      <c r="M137" s="95" t="str">
        <f t="shared" si="51"/>
        <v>0</v>
      </c>
      <c r="N137" s="95" t="str">
        <f t="shared" si="52"/>
        <v>0</v>
      </c>
      <c r="O137" s="95" t="str">
        <f t="shared" si="53"/>
        <v>0</v>
      </c>
      <c r="P137" s="95" t="str">
        <f t="shared" si="54"/>
        <v>0</v>
      </c>
      <c r="Q137" s="95">
        <f>IF(AND(G137=T$5,LEN(G137)&gt;1),1,0)</f>
        <v>0</v>
      </c>
      <c r="R137" s="97">
        <f>Doubles!G$5</f>
        <v>4</v>
      </c>
      <c r="S137" s="95">
        <f>IF(AND(H137=H$5,LEN(H137)&gt;1,Q137=1),1,0)</f>
        <v>0</v>
      </c>
      <c r="T137" s="95" t="s">
        <v>113</v>
      </c>
      <c r="U137" s="95" t="str">
        <f>IF(COUNTIF(C134:C235,"=Wrong Pick")&gt;0,"Incorrect pick, probably a spelling mistake",IF(T143&lt;10,"0","")&amp;T143&amp;":"&amp;IF(T144&lt;10,"0","")&amp;T144&amp;" | [b]"&amp;IF(LEN(U138)&gt;0,U138,T133&amp;"/"&amp;T185&amp;IF(LEN(D133)&gt;1," ("&amp;D133&amp;"/"&amp;D185&amp;")","")&amp;"[/b] vs. [b]"&amp;T159&amp;"/"&amp;T211&amp;IF(LEN(D159)&gt;1," ("&amp;D159&amp;"/"&amp;D211&amp;")","")&amp;"[/b]"&amp;IF(Doubles!$D$21&gt;1," (SR "&amp;U143&amp;":"&amp;U144&amp;")","")&amp;" - "&amp;IF(AND(F134="",F160="",F186="",F212=""),IF(LEN(U189)&gt;1,LEFT(U189,LEN(U189)-2)&amp;" vs. "&amp;LEFT(U190,LEN(U190)-2),IF(SUM(F$2:F$25)=0,"Same Winners; ",""))&amp;IF(AND(OR(AND(Doubles!$D$20&gt;1,Doubles!$D$21&lt;Doubles!$D$20),MOD(T136+T143+T144,2)=0),NOT(Doubles!$D$23="No")),LEFT(T134,LEN(T134)-2),""),F134&amp;F160&amp;F186&amp;F212)))</f>
        <v xml:space="preserve">00:00 | [b]gabrieltufao/igorpetrov (BRA/XXX)[/b] vs. [b](4) hahaha7/Superior1 (CRO/CRO)[/b] - Missing picks from gabrieltufao Missing picks from hahaha7 Missing picks from igorpetrov Missing picks from Superior1 </v>
      </c>
      <c r="V137" s="97">
        <f>VLOOKUP(4,R134:S157,2,0)</f>
        <v>0</v>
      </c>
      <c r="W137" s="95" t="str">
        <f t="shared" si="55"/>
        <v/>
      </c>
      <c r="X137" s="95">
        <f>IF(F$5=0,IF(AND(G137=G189,NOT(G137=G163),NOT(G137=G215),LEN(W137)&gt;0),2,IF(LEN(W137)=0,0,1)),0)</f>
        <v>0</v>
      </c>
      <c r="Y137" s="95" t="str">
        <f t="shared" si="56"/>
        <v xml:space="preserve"> 0-0</v>
      </c>
      <c r="Z137" s="95" t="str">
        <f t="shared" si="57"/>
        <v xml:space="preserve"> 0-0</v>
      </c>
      <c r="AA137" s="95" t="str">
        <f t="shared" si="58"/>
        <v xml:space="preserve"> 0-0</v>
      </c>
      <c r="AB137" s="95" t="str">
        <f t="shared" si="59"/>
        <v xml:space="preserve"> 0-0</v>
      </c>
      <c r="AC137" s="95" t="str">
        <f>IF(AND(LEN(W137)&gt;0,F$5=0),IF(X137=2,W137&amp;" +2, ",W137&amp;", "),"")</f>
        <v/>
      </c>
    </row>
    <row r="138" spans="1:29">
      <c r="A138" s="95">
        <v>5</v>
      </c>
      <c r="B138" s="95">
        <f>IF(Doubles!F68="",0,Doubles!F68)</f>
        <v>0</v>
      </c>
      <c r="C138" s="99" t="str">
        <f>IF(OR(LEFT(B138,LEN(B$6))=B$6,LEFT(B138,LEN(C$6))=C$6,LEN(B138)&lt;2),"",IF(B138="no pick","","Wrong pick"))</f>
        <v/>
      </c>
      <c r="D138" s="95">
        <f t="shared" si="46"/>
        <v>0</v>
      </c>
      <c r="E138" s="95">
        <f t="shared" si="47"/>
        <v>1</v>
      </c>
      <c r="G138" s="95" t="str">
        <f>IF(B138=0,"",IF(B138="no pick","No Pick",IF(LEFT(B138,LEN(B$6))=B$6,B$6,C$6)))</f>
        <v/>
      </c>
      <c r="H138" s="95" t="str">
        <f t="shared" si="48"/>
        <v>0-0</v>
      </c>
      <c r="I138" s="95" t="str">
        <f>IF(AND(J138=$I$2,F$6=0,NOT(E$6="")),IF(OR(AND(Y138=AA138,Z138=AB138),AND(Y138=AB138,Z138=AA138)),"",IF(AND(Y138=Z138,AA138=AB138),Y138&amp;" +2 v. "&amp;AA138&amp;" +2, ",IF(Y138=AA138,Z138&amp;" v. "&amp;AB138&amp;", ",IF(Z138=AB138,Y138&amp;" v. "&amp;AA138&amp;", ",IF(Y138=AB138,Z138&amp;" v. "&amp;AA138&amp;", ",IF(Z138=AA138,Y138&amp;" v. "&amp;AB138&amp;", ",Y138&amp;" v. "&amp;AA138&amp;", "&amp;Z138&amp;" v. "&amp;AB138&amp;", ")))))),"")</f>
        <v/>
      </c>
      <c r="J138" s="97">
        <f>D$6</f>
        <v>1</v>
      </c>
      <c r="K138" s="95" t="str">
        <f t="shared" si="49"/>
        <v>SR</v>
      </c>
      <c r="L138" s="95" t="str">
        <f t="shared" si="50"/>
        <v>0</v>
      </c>
      <c r="M138" s="95" t="str">
        <f t="shared" si="51"/>
        <v>0</v>
      </c>
      <c r="N138" s="95" t="str">
        <f t="shared" si="52"/>
        <v>0</v>
      </c>
      <c r="O138" s="95" t="str">
        <f t="shared" si="53"/>
        <v>0</v>
      </c>
      <c r="P138" s="95" t="str">
        <f t="shared" si="54"/>
        <v>0</v>
      </c>
      <c r="Q138" s="95">
        <f>IF(AND(G138=T$6,LEN(G138)&gt;1),1,0)</f>
        <v>0</v>
      </c>
      <c r="R138" s="97">
        <f>Doubles!G$6</f>
        <v>5</v>
      </c>
      <c r="S138" s="95">
        <f>IF(AND(H138=H$6,LEN(H138)&gt;1,Q138=1),1,0)</f>
        <v>0</v>
      </c>
      <c r="U138" s="95" t="str">
        <f>IF(B133="Bye","Bye[/b] vs. [b][color=blue]"&amp;T159&amp;"/"&amp;T211&amp;IF(LEN(D159)&gt;1," ("&amp;D159&amp;"/"&amp;D211&amp;")","")&amp;"[/color][/b]",IF(B159="Bye","[color=blue]"&amp;T133&amp;"/"&amp;T185&amp;IF(LEN(D133)&gt;1," ("&amp;D133&amp;"/"&amp;D185&amp;")","")&amp;"[/color][/b] vs. [b]Bye[/b]",""))</f>
        <v/>
      </c>
      <c r="V138" s="97">
        <f>VLOOKUP(5,R134:S157,2,0)</f>
        <v>0</v>
      </c>
      <c r="W138" s="95" t="str">
        <f t="shared" si="55"/>
        <v/>
      </c>
      <c r="X138" s="95">
        <f>IF(F$6=0,IF(AND(G138=G190,NOT(G138=G164),NOT(G138=G216),LEN(W138)&gt;0),2,IF(LEN(W138)=0,0,1)),0)</f>
        <v>0</v>
      </c>
      <c r="Y138" s="95" t="str">
        <f t="shared" si="56"/>
        <v xml:space="preserve"> 0-0</v>
      </c>
      <c r="Z138" s="95" t="str">
        <f t="shared" si="57"/>
        <v xml:space="preserve"> 0-0</v>
      </c>
      <c r="AA138" s="95" t="str">
        <f t="shared" si="58"/>
        <v xml:space="preserve"> 0-0</v>
      </c>
      <c r="AB138" s="95" t="str">
        <f t="shared" si="59"/>
        <v xml:space="preserve"> 0-0</v>
      </c>
      <c r="AC138" s="95" t="str">
        <f>IF(AND(LEN(W138)&gt;0,F$6=0),IF(X138=2,W138&amp;" +2, ",W138&amp;", "),"")</f>
        <v/>
      </c>
    </row>
    <row r="139" spans="1:29">
      <c r="A139" s="95">
        <v>6</v>
      </c>
      <c r="B139" s="95">
        <f>IF(Doubles!F69="",0,Doubles!F69)</f>
        <v>0</v>
      </c>
      <c r="C139" s="99" t="str">
        <f>IF(OR(LEFT(B139,LEN(B$7))=B$7,LEFT(B139,LEN(C$7))=C$7,LEN(B139)&lt;2),"",IF(B139="no pick","","Wrong pick"))</f>
        <v/>
      </c>
      <c r="D139" s="95">
        <f t="shared" si="46"/>
        <v>0</v>
      </c>
      <c r="E139" s="95">
        <f t="shared" si="47"/>
        <v>1</v>
      </c>
      <c r="G139" s="95" t="str">
        <f>IF(B139=0,"",IF(B139="no pick","No Pick",IF(LEFT(B139,LEN(B$7))=B$7,B$7,C$7)))</f>
        <v/>
      </c>
      <c r="H139" s="95" t="str">
        <f t="shared" si="48"/>
        <v>0-0</v>
      </c>
      <c r="I139" s="95" t="str">
        <f>IF(AND(J139=$I$2,F$7=0,NOT(E$7="")),IF(OR(AND(Y139=AA139,Z139=AB139),AND(Y139=AB139,Z139=AA139)),"",IF(AND(Y139=Z139,AA139=AB139),Y139&amp;" +2 v. "&amp;AA139&amp;" +2, ",IF(Y139=AA139,Z139&amp;" v. "&amp;AB139&amp;", ",IF(Z139=AB139,Y139&amp;" v. "&amp;AA139&amp;", ",IF(Y139=AB139,Z139&amp;" v. "&amp;AA139&amp;", ",IF(Z139=AA139,Y139&amp;" v. "&amp;AB139&amp;", ",Y139&amp;" v. "&amp;AA139&amp;", "&amp;Z139&amp;" v. "&amp;AB139&amp;", ")))))),"")</f>
        <v/>
      </c>
      <c r="J139" s="97">
        <f>D$7</f>
        <v>1</v>
      </c>
      <c r="K139" s="95" t="str">
        <f t="shared" si="49"/>
        <v>SR</v>
      </c>
      <c r="L139" s="95" t="str">
        <f t="shared" si="50"/>
        <v>0</v>
      </c>
      <c r="M139" s="95" t="str">
        <f t="shared" si="51"/>
        <v>0</v>
      </c>
      <c r="N139" s="95" t="str">
        <f t="shared" si="52"/>
        <v>0</v>
      </c>
      <c r="O139" s="95" t="str">
        <f t="shared" si="53"/>
        <v>0</v>
      </c>
      <c r="P139" s="95" t="str">
        <f t="shared" si="54"/>
        <v>0</v>
      </c>
      <c r="Q139" s="95">
        <f>IF(AND(G139=T$7,LEN(G139)&gt;1),1,0)</f>
        <v>0</v>
      </c>
      <c r="R139" s="97">
        <f>Doubles!G$7</f>
        <v>6</v>
      </c>
      <c r="S139" s="95">
        <f>IF(AND(H139=H$7,LEN(H139)&gt;1,Q139=1),1,0)</f>
        <v>0</v>
      </c>
      <c r="T139" s="105">
        <f>SUM(Q134:Q157)</f>
        <v>0</v>
      </c>
      <c r="U139" s="97">
        <f>SUM(S134:S157)</f>
        <v>0</v>
      </c>
      <c r="V139" s="97">
        <f>VLOOKUP(6,R134:S157,2,0)</f>
        <v>0</v>
      </c>
      <c r="W139" s="95" t="str">
        <f t="shared" si="55"/>
        <v/>
      </c>
      <c r="X139" s="95">
        <f>IF(F$7=0,IF(AND(G139=G191,NOT(G139=G165),NOT(G139=G217),LEN(W139)&gt;0),2,IF(LEN(W139)=0,0,1)),0)</f>
        <v>0</v>
      </c>
      <c r="Y139" s="95" t="str">
        <f t="shared" si="56"/>
        <v xml:space="preserve"> 0-0</v>
      </c>
      <c r="Z139" s="95" t="str">
        <f t="shared" si="57"/>
        <v xml:space="preserve"> 0-0</v>
      </c>
      <c r="AA139" s="95" t="str">
        <f t="shared" si="58"/>
        <v xml:space="preserve"> 0-0</v>
      </c>
      <c r="AB139" s="95" t="str">
        <f t="shared" si="59"/>
        <v xml:space="preserve"> 0-0</v>
      </c>
      <c r="AC139" s="95" t="str">
        <f>IF(AND(LEN(W139)&gt;0,F$7=0),IF(X139=2,W139&amp;" +2, ",W139&amp;", "),"")</f>
        <v/>
      </c>
    </row>
    <row r="140" spans="1:29">
      <c r="A140" s="95">
        <v>7</v>
      </c>
      <c r="B140" s="95">
        <f>IF(Doubles!F70="",0,Doubles!F70)</f>
        <v>0</v>
      </c>
      <c r="C140" s="99" t="str">
        <f>IF(OR(LEFT(B140,LEN(B$8))=B$8,LEFT(B140,LEN(C$8))=C$8,LEN(B140)&lt;2),"",IF(B140="no pick","","Wrong pick"))</f>
        <v/>
      </c>
      <c r="D140" s="95">
        <f t="shared" si="46"/>
        <v>0</v>
      </c>
      <c r="E140" s="95">
        <f t="shared" si="47"/>
        <v>1</v>
      </c>
      <c r="G140" s="95" t="str">
        <f>IF(B140=0,"",IF(B140="no pick","No Pick",IF(LEFT(B140,LEN(B$8))=B$8,B$8,C$8)))</f>
        <v/>
      </c>
      <c r="H140" s="95" t="str">
        <f t="shared" si="48"/>
        <v>0-0</v>
      </c>
      <c r="I140" s="95" t="str">
        <f>IF(AND(J140=$I$2,F$8=0,NOT(E$8="")),IF(OR(AND(Y140=AA140,Z140=AB140),AND(Y140=AB140,Z140=AA140)),"",IF(AND(Y140=Z140,AA140=AB140),Y140&amp;" +2 v. "&amp;AA140&amp;" +2, ",IF(Y140=AA140,Z140&amp;" v. "&amp;AB140&amp;", ",IF(Z140=AB140,Y140&amp;" v. "&amp;AA140&amp;", ",IF(Y140=AB140,Z140&amp;" v. "&amp;AA140&amp;", ",IF(Z140=AA140,Y140&amp;" v. "&amp;AB140&amp;", ",Y140&amp;" v. "&amp;AA140&amp;", "&amp;Z140&amp;" v. "&amp;AB140&amp;", ")))))),"")</f>
        <v/>
      </c>
      <c r="J140" s="97">
        <f>D$8</f>
        <v>1</v>
      </c>
      <c r="K140" s="95" t="str">
        <f t="shared" si="49"/>
        <v>SR</v>
      </c>
      <c r="L140" s="95" t="str">
        <f t="shared" si="50"/>
        <v>0</v>
      </c>
      <c r="M140" s="95" t="str">
        <f t="shared" si="51"/>
        <v>0</v>
      </c>
      <c r="N140" s="95" t="str">
        <f t="shared" si="52"/>
        <v>0</v>
      </c>
      <c r="O140" s="95" t="str">
        <f t="shared" si="53"/>
        <v>0</v>
      </c>
      <c r="P140" s="95" t="str">
        <f t="shared" si="54"/>
        <v>0</v>
      </c>
      <c r="Q140" s="95">
        <f>IF(AND(G140=T$8,LEN(G140)&gt;1),1,0)</f>
        <v>0</v>
      </c>
      <c r="R140" s="97">
        <f>Doubles!G$8</f>
        <v>7</v>
      </c>
      <c r="S140" s="95">
        <f>IF(AND(H140=H$8,LEN(H140)&gt;1,Q140=1),1,0)</f>
        <v>0</v>
      </c>
      <c r="T140" s="105">
        <f>SUM(Q160:Q183)</f>
        <v>0</v>
      </c>
      <c r="U140" s="97">
        <f>SUM(S160:S183)</f>
        <v>0</v>
      </c>
      <c r="V140" s="97">
        <f>VLOOKUP(7,R134:S157,2,0)</f>
        <v>0</v>
      </c>
      <c r="W140" s="95" t="str">
        <f t="shared" si="55"/>
        <v/>
      </c>
      <c r="X140" s="95">
        <f>IF(F$8=0,IF(AND(G140=G192,NOT(G140=G166),NOT(G140=G218),LEN(W140)&gt;0),2,IF(LEN(W140)=0,0,1)),0)</f>
        <v>0</v>
      </c>
      <c r="Y140" s="95" t="str">
        <f t="shared" si="56"/>
        <v xml:space="preserve"> 0-0</v>
      </c>
      <c r="Z140" s="95" t="str">
        <f t="shared" si="57"/>
        <v xml:space="preserve"> 0-0</v>
      </c>
      <c r="AA140" s="95" t="str">
        <f t="shared" si="58"/>
        <v xml:space="preserve"> 0-0</v>
      </c>
      <c r="AB140" s="95" t="str">
        <f t="shared" si="59"/>
        <v xml:space="preserve"> 0-0</v>
      </c>
      <c r="AC140" s="95" t="str">
        <f>IF(AND(LEN(W140)&gt;0,F$8=0),IF(X140=2,W140&amp;" +2, ",W140&amp;", "),"")</f>
        <v/>
      </c>
    </row>
    <row r="141" spans="1:29">
      <c r="A141" s="95">
        <v>8</v>
      </c>
      <c r="B141" s="95">
        <f>IF(Doubles!F71="",0,Doubles!F71)</f>
        <v>0</v>
      </c>
      <c r="C141" s="99" t="str">
        <f>IF(OR(LEFT(B141,LEN(B$9))=B$9,LEFT(B141,LEN(C$9))=C$9,LEN(B141)&lt;2),"",IF(B141="no pick","","Wrong pick"))</f>
        <v/>
      </c>
      <c r="D141" s="95">
        <f t="shared" si="46"/>
        <v>0</v>
      </c>
      <c r="E141" s="95">
        <f t="shared" si="47"/>
        <v>1</v>
      </c>
      <c r="G141" s="95" t="str">
        <f>IF(B141=0,"",IF(B141="no pick","No Pick",IF(LEFT(B141,LEN(B$9))=B$9,B$9,C$9)))</f>
        <v/>
      </c>
      <c r="H141" s="95" t="str">
        <f t="shared" si="48"/>
        <v>0-0</v>
      </c>
      <c r="I141" s="95" t="str">
        <f>IF(AND(J141=$I$2,F$9=0,NOT(E$9="")),IF(OR(AND(Y141=AA141,Z141=AB141),AND(Y141=AB141,Z141=AA141)),"",IF(AND(Y141=Z141,AA141=AB141),Y141&amp;" +2 v. "&amp;AA141&amp;" +2, ",IF(Y141=AA141,Z141&amp;" v. "&amp;AB141&amp;", ",IF(Z141=AB141,Y141&amp;" v. "&amp;AA141&amp;", ",IF(Y141=AB141,Z141&amp;" v. "&amp;AA141&amp;", ",IF(Z141=AA141,Y141&amp;" v. "&amp;AB141&amp;", ",Y141&amp;" v. "&amp;AA141&amp;", "&amp;Z141&amp;" v. "&amp;AB141&amp;", ")))))),"")</f>
        <v/>
      </c>
      <c r="J141" s="97">
        <f>D$9</f>
        <v>1</v>
      </c>
      <c r="K141" s="95" t="str">
        <f t="shared" si="49"/>
        <v>SR</v>
      </c>
      <c r="L141" s="95" t="str">
        <f t="shared" si="50"/>
        <v>0</v>
      </c>
      <c r="M141" s="95" t="str">
        <f t="shared" si="51"/>
        <v>0</v>
      </c>
      <c r="N141" s="95" t="str">
        <f t="shared" si="52"/>
        <v>0</v>
      </c>
      <c r="O141" s="95" t="str">
        <f t="shared" si="53"/>
        <v>0</v>
      </c>
      <c r="P141" s="95" t="str">
        <f t="shared" si="54"/>
        <v>0</v>
      </c>
      <c r="Q141" s="95">
        <f>IF(AND(G141=T$9,LEN(G141)&gt;1),1,0)</f>
        <v>0</v>
      </c>
      <c r="R141" s="97">
        <f>Doubles!G$9</f>
        <v>8</v>
      </c>
      <c r="S141" s="95">
        <f>IF(AND(H141=H$9,LEN(H141)&gt;1,Q141=1),1,0)</f>
        <v>0</v>
      </c>
      <c r="V141" s="97">
        <f>VLOOKUP(8,R134:S157,2,0)</f>
        <v>0</v>
      </c>
      <c r="W141" s="95" t="str">
        <f t="shared" si="55"/>
        <v/>
      </c>
      <c r="X141" s="95">
        <f>IF(F$9=0,IF(AND(G141=G193,NOT(G141=G167),NOT(G141=G219),LEN(W141)&gt;0),2,IF(LEN(W141)=0,0,1)),0)</f>
        <v>0</v>
      </c>
      <c r="Y141" s="95" t="str">
        <f t="shared" si="56"/>
        <v xml:space="preserve"> 0-0</v>
      </c>
      <c r="Z141" s="95" t="str">
        <f t="shared" si="57"/>
        <v xml:space="preserve"> 0-0</v>
      </c>
      <c r="AA141" s="95" t="str">
        <f t="shared" si="58"/>
        <v xml:space="preserve"> 0-0</v>
      </c>
      <c r="AB141" s="95" t="str">
        <f t="shared" si="59"/>
        <v xml:space="preserve"> 0-0</v>
      </c>
      <c r="AC141" s="95" t="str">
        <f>IF(AND(LEN(W141)&gt;0,F$9=0),IF(X141=2,W141&amp;" +2, ",W141&amp;", "),"")</f>
        <v/>
      </c>
    </row>
    <row r="142" spans="1:29">
      <c r="A142" s="95">
        <v>9</v>
      </c>
      <c r="B142" s="95">
        <f>IF(Doubles!F72="",0,Doubles!F72)</f>
        <v>0</v>
      </c>
      <c r="C142" s="99" t="str">
        <f>IF(OR(LEFT(B142,LEN(B$10))=B$10,LEFT(B142,LEN(C$10))=C$10,LEN(B142)&lt;2),"",IF(B142="no pick","","Wrong pick"))</f>
        <v/>
      </c>
      <c r="D142" s="95">
        <f t="shared" si="46"/>
        <v>0</v>
      </c>
      <c r="E142" s="95">
        <f t="shared" si="47"/>
        <v>1</v>
      </c>
      <c r="G142" s="95" t="str">
        <f>IF(B142=0,"",IF(B142="no pick","No Pick",IF(LEFT(B142,LEN(B$10))=B$10,B$10,C$10)))</f>
        <v/>
      </c>
      <c r="H142" s="95" t="str">
        <f t="shared" si="48"/>
        <v>0-0</v>
      </c>
      <c r="I142" s="95" t="str">
        <f>IF(AND(J142=$I$2,F$10=0,NOT(E$10="")),IF(OR(AND(Y142=AA142,Z142=AB142),AND(Y142=AB142,Z142=AA142)),"",IF(AND(Y142=Z142,AA142=AB142),Y142&amp;" +2 v. "&amp;AA142&amp;" +2, ",IF(Y142=AA142,Z142&amp;" v. "&amp;AB142&amp;", ",IF(Z142=AB142,Y142&amp;" v. "&amp;AA142&amp;", ",IF(Y142=AB142,Z142&amp;" v. "&amp;AA142&amp;", ",IF(Z142=AA142,Y142&amp;" v. "&amp;AB142&amp;", ",Y142&amp;" v. "&amp;AA142&amp;", "&amp;Z142&amp;" v. "&amp;AB142&amp;", ")))))),"")</f>
        <v/>
      </c>
      <c r="J142" s="97">
        <f>D$10</f>
        <v>1</v>
      </c>
      <c r="K142" s="95" t="str">
        <f t="shared" si="49"/>
        <v>SR</v>
      </c>
      <c r="L142" s="95" t="str">
        <f t="shared" si="50"/>
        <v>0</v>
      </c>
      <c r="M142" s="95" t="str">
        <f t="shared" si="51"/>
        <v>0</v>
      </c>
      <c r="N142" s="95" t="str">
        <f t="shared" si="52"/>
        <v>0</v>
      </c>
      <c r="O142" s="95" t="str">
        <f t="shared" si="53"/>
        <v>0</v>
      </c>
      <c r="P142" s="95" t="str">
        <f t="shared" si="54"/>
        <v>0</v>
      </c>
      <c r="Q142" s="95">
        <f>IF(AND(G142=T$10,LEN(G142)&gt;1),1,0)</f>
        <v>0</v>
      </c>
      <c r="R142" s="97">
        <f>Doubles!G$10</f>
        <v>9</v>
      </c>
      <c r="S142" s="95">
        <f>IF(AND(H142=H$10,LEN(H142)&gt;1,Q142=1),1,0)</f>
        <v>0</v>
      </c>
      <c r="T142" s="95" t="e">
        <f>VLOOKUP("Winner",T160:U184,2,0)</f>
        <v>#N/A</v>
      </c>
      <c r="U142" s="95" t="e">
        <f>VLOOKUP(T142,U160:W184,3,0)</f>
        <v>#N/A</v>
      </c>
      <c r="V142" s="97">
        <f>VLOOKUP(9,R134:S157,2,0)</f>
        <v>0</v>
      </c>
      <c r="W142" s="95" t="str">
        <f t="shared" si="55"/>
        <v/>
      </c>
      <c r="X142" s="95">
        <f>IF(F$10=0,IF(AND(G142=G194,NOT(G142=G168),NOT(G142=G220),LEN(W142)&gt;0),2,IF(LEN(W142)=0,0,1)),0)</f>
        <v>0</v>
      </c>
      <c r="Y142" s="95" t="str">
        <f t="shared" si="56"/>
        <v xml:space="preserve"> 0-0</v>
      </c>
      <c r="Z142" s="95" t="str">
        <f t="shared" si="57"/>
        <v xml:space="preserve"> 0-0</v>
      </c>
      <c r="AA142" s="95" t="str">
        <f t="shared" si="58"/>
        <v xml:space="preserve"> 0-0</v>
      </c>
      <c r="AB142" s="95" t="str">
        <f t="shared" si="59"/>
        <v xml:space="preserve"> 0-0</v>
      </c>
      <c r="AC142" s="95" t="str">
        <f>IF(AND(LEN(W142)&gt;0,F$10=0),IF(X142=2,W142&amp;" +2, ",W142&amp;", "),"")</f>
        <v/>
      </c>
    </row>
    <row r="143" spans="1:29">
      <c r="A143" s="95">
        <v>10</v>
      </c>
      <c r="B143" s="95">
        <f>IF(Doubles!F73="",0,Doubles!F73)</f>
        <v>0</v>
      </c>
      <c r="C143" s="99" t="str">
        <f>IF(OR(LEFT(B143,LEN(B$11))=B$11,LEFT(B143,LEN(C$11))=C$11,LEN(B143)&lt;2),"",IF(B143="no pick","","Wrong pick"))</f>
        <v/>
      </c>
      <c r="D143" s="95">
        <f t="shared" si="46"/>
        <v>0</v>
      </c>
      <c r="E143" s="95">
        <f t="shared" si="47"/>
        <v>1</v>
      </c>
      <c r="G143" s="95" t="str">
        <f>IF(B143=0,"",IF(B143="no pick","No Pick",IF(LEFT(B143,LEN(B$11))=B$11,B$11,C$11)))</f>
        <v/>
      </c>
      <c r="H143" s="95" t="str">
        <f t="shared" si="48"/>
        <v>0-0</v>
      </c>
      <c r="I143" s="95" t="str">
        <f>IF(AND(J143=$I$2,F$11=0,NOT(E$11="")),IF(OR(AND(Y143=AA143,Z143=AB143),AND(Y143=AB143,Z143=AA143)),"",IF(AND(Y143=Z143,AA143=AB143),Y143&amp;" +2 v. "&amp;AA143&amp;" +2, ",IF(Y143=AA143,Z143&amp;" v. "&amp;AB143&amp;", ",IF(Z143=AB143,Y143&amp;" v. "&amp;AA143&amp;", ",IF(Y143=AB143,Z143&amp;" v. "&amp;AA143&amp;", ",IF(Z143=AA143,Y143&amp;" v. "&amp;AB143&amp;", ",Y143&amp;" v. "&amp;AA143&amp;", "&amp;Z143&amp;" v. "&amp;AB143&amp;", ")))))),"")</f>
        <v/>
      </c>
      <c r="J143" s="97">
        <f>D$11</f>
        <v>1</v>
      </c>
      <c r="K143" s="95" t="str">
        <f t="shared" si="49"/>
        <v>SR</v>
      </c>
      <c r="L143" s="95" t="str">
        <f t="shared" si="50"/>
        <v>0</v>
      </c>
      <c r="M143" s="95" t="str">
        <f t="shared" si="51"/>
        <v>0</v>
      </c>
      <c r="N143" s="95" t="str">
        <f t="shared" si="52"/>
        <v>0</v>
      </c>
      <c r="O143" s="95" t="str">
        <f t="shared" si="53"/>
        <v>0</v>
      </c>
      <c r="P143" s="95" t="str">
        <f t="shared" si="54"/>
        <v>0</v>
      </c>
      <c r="Q143" s="95">
        <f>IF(AND(G143=T$11,LEN(G143)&gt;1),1,0)</f>
        <v>0</v>
      </c>
      <c r="R143" s="97">
        <f>Doubles!G$11</f>
        <v>10</v>
      </c>
      <c r="S143" s="95">
        <f>IF(AND(H143=H$11,LEN(H143)&gt;1,Q143=1),1,0)</f>
        <v>0</v>
      </c>
      <c r="T143" s="97">
        <f>T139+T191</f>
        <v>0</v>
      </c>
      <c r="U143" s="95">
        <f>U139+U191</f>
        <v>0</v>
      </c>
      <c r="V143" s="97">
        <f>VLOOKUP(10,R134:S157,2,0)</f>
        <v>0</v>
      </c>
      <c r="W143" s="95" t="str">
        <f t="shared" si="55"/>
        <v/>
      </c>
      <c r="X143" s="95">
        <f>IF(F$11=0,IF(AND(G143=G195,NOT(G143=G169),NOT(G143=G221),LEN(W143)&gt;0),2,IF(LEN(W143)=0,0,1)),0)</f>
        <v>0</v>
      </c>
      <c r="Y143" s="95" t="str">
        <f t="shared" si="56"/>
        <v xml:space="preserve"> 0-0</v>
      </c>
      <c r="Z143" s="95" t="str">
        <f t="shared" si="57"/>
        <v xml:space="preserve"> 0-0</v>
      </c>
      <c r="AA143" s="95" t="str">
        <f t="shared" si="58"/>
        <v xml:space="preserve"> 0-0</v>
      </c>
      <c r="AB143" s="95" t="str">
        <f t="shared" si="59"/>
        <v xml:space="preserve"> 0-0</v>
      </c>
      <c r="AC143" s="95" t="str">
        <f>IF(AND(LEN(W143)&gt;0,F$11=0),IF(X143=2,W143&amp;" +2, ",W143&amp;", "),"")</f>
        <v/>
      </c>
    </row>
    <row r="144" spans="1:29">
      <c r="A144" s="95">
        <v>11</v>
      </c>
      <c r="B144" s="95">
        <f>IF(Doubles!F74="",0,Doubles!F74)</f>
        <v>0</v>
      </c>
      <c r="C144" s="99" t="str">
        <f>IF(OR(LEFT(B144,LEN(B$12))=B$12,LEFT(B144,LEN(C$12))=C$12,LEN(B144)&lt;2),"",IF(B144="no pick","","Wrong pick"))</f>
        <v/>
      </c>
      <c r="D144" s="95">
        <f t="shared" si="46"/>
        <v>0</v>
      </c>
      <c r="E144" s="95">
        <f t="shared" si="47"/>
        <v>1</v>
      </c>
      <c r="G144" s="95" t="str">
        <f>IF(B144=0,"",IF(B144="no pick","No Pick",IF(LEFT(B144,LEN(B$12))=B$12,B$12,C$12)))</f>
        <v/>
      </c>
      <c r="H144" s="95" t="str">
        <f t="shared" si="48"/>
        <v>0-0</v>
      </c>
      <c r="I144" s="95" t="str">
        <f>IF(AND(J144=$I$2,F$12=0,NOT(E$12="")),IF(OR(AND(Y144=AA144,Z144=AB144),AND(Y144=AB144,Z144=AA144)),"",IF(AND(Y144=Z144,AA144=AB144),Y144&amp;" +2 v. "&amp;AA144&amp;" +2, ",IF(Y144=AA144,Z144&amp;" v. "&amp;AB144&amp;", ",IF(Z144=AB144,Y144&amp;" v. "&amp;AA144&amp;", ",IF(Y144=AB144,Z144&amp;" v. "&amp;AA144&amp;", ",IF(Z144=AA144,Y144&amp;" v. "&amp;AB144&amp;", ",Y144&amp;" v. "&amp;AA144&amp;", "&amp;Z144&amp;" v. "&amp;AB144&amp;", ")))))),"")</f>
        <v/>
      </c>
      <c r="J144" s="97">
        <f>D$12</f>
        <v>1</v>
      </c>
      <c r="K144" s="95" t="str">
        <f t="shared" si="49"/>
        <v>SR</v>
      </c>
      <c r="L144" s="95" t="str">
        <f t="shared" si="50"/>
        <v>0</v>
      </c>
      <c r="M144" s="95" t="str">
        <f t="shared" si="51"/>
        <v>0</v>
      </c>
      <c r="N144" s="95" t="str">
        <f t="shared" si="52"/>
        <v>0</v>
      </c>
      <c r="O144" s="95" t="str">
        <f t="shared" si="53"/>
        <v>0</v>
      </c>
      <c r="P144" s="95" t="str">
        <f t="shared" si="54"/>
        <v>0</v>
      </c>
      <c r="Q144" s="95">
        <f>IF(AND(G144=T$12,LEN(G144)&gt;1),1,0)</f>
        <v>0</v>
      </c>
      <c r="R144" s="97">
        <f>Doubles!G$12</f>
        <v>11</v>
      </c>
      <c r="S144" s="95">
        <f>IF(AND(H144=H$12,LEN(H144)&gt;1,Q144=1),1,0)</f>
        <v>0</v>
      </c>
      <c r="T144" s="97">
        <f>T140+T192</f>
        <v>0</v>
      </c>
      <c r="U144" s="95">
        <f>U140+U192</f>
        <v>0</v>
      </c>
      <c r="V144" s="97">
        <f>VLOOKUP(11,R134:S157,2,0)</f>
        <v>0</v>
      </c>
      <c r="W144" s="95" t="str">
        <f t="shared" si="55"/>
        <v/>
      </c>
      <c r="X144" s="95">
        <f>IF(F$12=0,IF(AND(G144=G196,NOT(G144=G170),NOT(G144=G222),LEN(W144)&gt;0),2,IF(LEN(W144)=0,0,1)),0)</f>
        <v>0</v>
      </c>
      <c r="Y144" s="95" t="str">
        <f t="shared" si="56"/>
        <v xml:space="preserve"> 0-0</v>
      </c>
      <c r="Z144" s="95" t="str">
        <f t="shared" si="57"/>
        <v xml:space="preserve"> 0-0</v>
      </c>
      <c r="AA144" s="95" t="str">
        <f t="shared" si="58"/>
        <v xml:space="preserve"> 0-0</v>
      </c>
      <c r="AB144" s="95" t="str">
        <f t="shared" si="59"/>
        <v xml:space="preserve"> 0-0</v>
      </c>
      <c r="AC144" s="95" t="str">
        <f>IF(AND(LEN(W144)&gt;0,F$12=0),IF(X144=2,W144&amp;" +2, ",W144&amp;", "),"")</f>
        <v/>
      </c>
    </row>
    <row r="145" spans="1:29">
      <c r="A145" s="95">
        <v>12</v>
      </c>
      <c r="B145" s="95">
        <f>IF(Doubles!F75="",0,Doubles!F75)</f>
        <v>0</v>
      </c>
      <c r="C145" s="99" t="str">
        <f>IF(OR(LEFT(B145,LEN(B$13))=B$13,LEFT(B145,LEN(C$13))=C$13,LEN(B145)&lt;2),"",IF(B145="no pick","","Wrong pick"))</f>
        <v/>
      </c>
      <c r="D145" s="95">
        <f t="shared" si="46"/>
        <v>0</v>
      </c>
      <c r="E145" s="95">
        <f t="shared" si="47"/>
        <v>1</v>
      </c>
      <c r="G145" s="95" t="str">
        <f>IF(B145=0,"",IF(B145="no pick","No Pick",IF(LEFT(B145,LEN(B$13))=B$13,B$13,C$13)))</f>
        <v/>
      </c>
      <c r="H145" s="95" t="str">
        <f t="shared" si="48"/>
        <v>0-0</v>
      </c>
      <c r="I145" s="95" t="str">
        <f>IF(AND(J145=$I$2,F$13=0,NOT(E$13="")),IF(OR(AND(Y145=AA145,Z145=AB145),AND(Y145=AB145,Z145=AA145)),"",IF(AND(Y145=Z145,AA145=AB145),Y145&amp;" +2 v. "&amp;AA145&amp;" +2, ",IF(Y145=AA145,Z145&amp;" v. "&amp;AB145&amp;", ",IF(Z145=AB145,Y145&amp;" v. "&amp;AA145&amp;", ",IF(Y145=AB145,Z145&amp;" v. "&amp;AA145&amp;", ",IF(Z145=AA145,Y145&amp;" v. "&amp;AB145&amp;", ",Y145&amp;" v. "&amp;AA145&amp;", "&amp;Z145&amp;" v. "&amp;AB145&amp;", ")))))),"")</f>
        <v/>
      </c>
      <c r="J145" s="97">
        <f>D$13</f>
        <v>1</v>
      </c>
      <c r="K145" s="95" t="str">
        <f t="shared" si="49"/>
        <v>SR</v>
      </c>
      <c r="L145" s="95" t="str">
        <f t="shared" si="50"/>
        <v>0</v>
      </c>
      <c r="M145" s="95" t="str">
        <f t="shared" si="51"/>
        <v>0</v>
      </c>
      <c r="N145" s="95" t="str">
        <f t="shared" si="52"/>
        <v>0</v>
      </c>
      <c r="O145" s="95" t="str">
        <f t="shared" si="53"/>
        <v>0</v>
      </c>
      <c r="P145" s="95" t="str">
        <f t="shared" si="54"/>
        <v>0</v>
      </c>
      <c r="Q145" s="95">
        <f>IF(AND(G145=T$13,LEN(G145)&gt;1),1,0)</f>
        <v>0</v>
      </c>
      <c r="R145" s="97">
        <f>Doubles!G$13</f>
        <v>12</v>
      </c>
      <c r="S145" s="95">
        <f>IF(AND(H145=H$13,LEN(H145)&gt;1,Q145=1),1,0)</f>
        <v>0</v>
      </c>
      <c r="V145" s="97">
        <f>VLOOKUP(12,R134:S157,2,0)</f>
        <v>0</v>
      </c>
      <c r="W145" s="95" t="str">
        <f t="shared" si="55"/>
        <v/>
      </c>
      <c r="X145" s="95">
        <f>IF(F$13=0,IF(AND(G145=G197,NOT(G145=G171),NOT(G145=G223),LEN(W145)&gt;0),2,IF(LEN(W145)=0,0,1)),0)</f>
        <v>0</v>
      </c>
      <c r="Y145" s="95" t="str">
        <f t="shared" si="56"/>
        <v xml:space="preserve"> 0-0</v>
      </c>
      <c r="Z145" s="95" t="str">
        <f t="shared" si="57"/>
        <v xml:space="preserve"> 0-0</v>
      </c>
      <c r="AA145" s="95" t="str">
        <f t="shared" si="58"/>
        <v xml:space="preserve"> 0-0</v>
      </c>
      <c r="AB145" s="95" t="str">
        <f t="shared" si="59"/>
        <v xml:space="preserve"> 0-0</v>
      </c>
      <c r="AC145" s="95" t="str">
        <f>IF(AND(LEN(W145)&gt;0,F$13=0),IF(X145=2,W145&amp;" +2, ",W145&amp;", "),"")</f>
        <v/>
      </c>
    </row>
    <row r="146" spans="1:29">
      <c r="A146" s="95">
        <v>13</v>
      </c>
      <c r="B146" s="95">
        <f>IF(Doubles!F76="",0,Doubles!F76)</f>
        <v>0</v>
      </c>
      <c r="C146" s="99" t="str">
        <f>IF(OR(LEFT(B146,LEN(B$14))=B$14,LEFT(B146,LEN(C$14))=C$14,LEN(B146)&lt;2),"",IF(B146="no pick","","Wrong pick"))</f>
        <v/>
      </c>
      <c r="D146" s="95">
        <f t="shared" si="46"/>
        <v>0</v>
      </c>
      <c r="E146" s="95">
        <f t="shared" si="47"/>
        <v>1</v>
      </c>
      <c r="G146" s="95" t="str">
        <f>IF(B146=0,"",IF(B146="no pick","No Pick",IF(LEFT(B146,LEN(B$14))=B$14,B$14,C$14)))</f>
        <v/>
      </c>
      <c r="H146" s="95" t="str">
        <f t="shared" si="48"/>
        <v>0-0</v>
      </c>
      <c r="I146" s="95" t="str">
        <f>IF(AND(J146=$I$2,F$14=0,NOT(E$14="")),IF(OR(AND(Y146=AA146,Z146=AB146),AND(Y146=AB146,Z146=AA146)),"",IF(AND(Y146=Z146,AA146=AB146),Y146&amp;" +2 v. "&amp;AA146&amp;" +2, ",IF(Y146=AA146,Z146&amp;" v. "&amp;AB146&amp;", ",IF(Z146=AB146,Y146&amp;" v. "&amp;AA146&amp;", ",IF(Y146=AB146,Z146&amp;" v. "&amp;AA146&amp;", ",IF(Z146=AA146,Y146&amp;" v. "&amp;AB146&amp;", ",Y146&amp;" v. "&amp;AA146&amp;", "&amp;Z146&amp;" v. "&amp;AB146&amp;", ")))))),"")</f>
        <v/>
      </c>
      <c r="J146" s="97">
        <f>D$14</f>
        <v>1</v>
      </c>
      <c r="K146" s="95" t="str">
        <f t="shared" si="49"/>
        <v>SR</v>
      </c>
      <c r="L146" s="95" t="str">
        <f t="shared" si="50"/>
        <v>0</v>
      </c>
      <c r="M146" s="95" t="str">
        <f t="shared" si="51"/>
        <v>0</v>
      </c>
      <c r="N146" s="95" t="str">
        <f t="shared" si="52"/>
        <v>0</v>
      </c>
      <c r="O146" s="95" t="str">
        <f t="shared" si="53"/>
        <v>0</v>
      </c>
      <c r="P146" s="95" t="str">
        <f t="shared" si="54"/>
        <v>0</v>
      </c>
      <c r="Q146" s="95">
        <f>IF(AND(G146=T$14,LEN(G146)&gt;1),1,0)</f>
        <v>0</v>
      </c>
      <c r="R146" s="97">
        <f>Doubles!G$14</f>
        <v>13</v>
      </c>
      <c r="S146" s="95">
        <f>IF(AND(H146=H$14,LEN(H146)&gt;1,Q146=1),1,0)</f>
        <v>0</v>
      </c>
      <c r="V146" s="97">
        <f>VLOOKUP(13,R134:S157,2,0)</f>
        <v>0</v>
      </c>
      <c r="W146" s="95" t="str">
        <f t="shared" si="55"/>
        <v/>
      </c>
      <c r="X146" s="95">
        <f>IF(F$14=0,IF(AND(G146=G198,NOT(G146=G172),NOT(G146=G224),LEN(W146)&gt;0),2,IF(LEN(W146)=0,0,1)),0)</f>
        <v>0</v>
      </c>
      <c r="Y146" s="95" t="str">
        <f t="shared" si="56"/>
        <v xml:space="preserve"> 0-0</v>
      </c>
      <c r="Z146" s="95" t="str">
        <f t="shared" si="57"/>
        <v xml:space="preserve"> 0-0</v>
      </c>
      <c r="AA146" s="95" t="str">
        <f t="shared" si="58"/>
        <v xml:space="preserve"> 0-0</v>
      </c>
      <c r="AB146" s="95" t="str">
        <f t="shared" si="59"/>
        <v xml:space="preserve"> 0-0</v>
      </c>
      <c r="AC146" s="95" t="str">
        <f>IF(AND(LEN(W146)&gt;0,F$14=0),IF(X146=2,W146&amp;" +2, ",W146&amp;", "),"")</f>
        <v/>
      </c>
    </row>
    <row r="147" spans="1:29">
      <c r="A147" s="95">
        <v>14</v>
      </c>
      <c r="B147" s="95">
        <f>IF(Doubles!F77="",0,Doubles!F77)</f>
        <v>0</v>
      </c>
      <c r="C147" s="99" t="str">
        <f>IF(OR(LEFT(B147,LEN(B$15))=B$15,LEFT(B147,LEN(C$15))=C$15,LEN(B147)&lt;2),"",IF(B147="no pick","","Wrong pick"))</f>
        <v/>
      </c>
      <c r="D147" s="95">
        <f t="shared" si="46"/>
        <v>0</v>
      </c>
      <c r="E147" s="95">
        <f t="shared" si="47"/>
        <v>1</v>
      </c>
      <c r="G147" s="95" t="str">
        <f>IF(B147=0,"",IF(B147="no pick","No Pick",IF(LEFT(B147,LEN(B$15))=B$15,B$15,C$15)))</f>
        <v/>
      </c>
      <c r="H147" s="95" t="str">
        <f t="shared" si="48"/>
        <v>0-0</v>
      </c>
      <c r="I147" s="95" t="str">
        <f>IF(AND(J147=$I$2,F$15=0,NOT(E$15="")),IF(OR(AND(Y147=AA147,Z147=AB147),AND(Y147=AB147,Z147=AA147)),"",IF(AND(Y147=Z147,AA147=AB147),Y147&amp;" +2 v. "&amp;AA147&amp;" +2, ",IF(Y147=AA147,Z147&amp;" v. "&amp;AB147&amp;", ",IF(Z147=AB147,Y147&amp;" v. "&amp;AA147&amp;", ",IF(Y147=AB147,Z147&amp;" v. "&amp;AA147&amp;", ",IF(Z147=AA147,Y147&amp;" v. "&amp;AB147&amp;", ",Y147&amp;" v. "&amp;AA147&amp;", "&amp;Z147&amp;" v. "&amp;AB147&amp;", ")))))),"")</f>
        <v/>
      </c>
      <c r="J147" s="97">
        <f>D$15</f>
        <v>1</v>
      </c>
      <c r="K147" s="95" t="str">
        <f t="shared" si="49"/>
        <v>SR</v>
      </c>
      <c r="L147" s="95" t="str">
        <f t="shared" si="50"/>
        <v>0</v>
      </c>
      <c r="M147" s="95" t="str">
        <f t="shared" si="51"/>
        <v>0</v>
      </c>
      <c r="N147" s="95" t="str">
        <f t="shared" si="52"/>
        <v>0</v>
      </c>
      <c r="O147" s="95" t="str">
        <f t="shared" si="53"/>
        <v>0</v>
      </c>
      <c r="P147" s="95" t="str">
        <f t="shared" si="54"/>
        <v>0</v>
      </c>
      <c r="Q147" s="95">
        <f>IF(AND(G147=T$15,LEN(G147)&gt;1),1,0)</f>
        <v>0</v>
      </c>
      <c r="R147" s="97">
        <f>Doubles!G$15</f>
        <v>14</v>
      </c>
      <c r="S147" s="95">
        <f>IF(AND(H147=H$15,LEN(H147)&gt;1,Q147=1),1,0)</f>
        <v>0</v>
      </c>
      <c r="T147" s="95" t="s">
        <v>127</v>
      </c>
      <c r="U147" s="95" t="str">
        <f>IF(Doubles!$D$22=$F$26,IF(T143&gt;T144,B133&amp;"/"&amp;B185,IF(T143&lt;T144,B159&amp;"/"&amp;B211,IF(U143&gt;U144,B133&amp;"/"&amp;B185,IF(U143&lt;U144,B159&amp;"/"&amp;B211,"Tied, see shootout")))),"No decision yet")</f>
        <v>No decision yet</v>
      </c>
      <c r="V147" s="97">
        <f>VLOOKUP(14,R134:S157,2,0)</f>
        <v>0</v>
      </c>
      <c r="W147" s="95" t="str">
        <f t="shared" si="55"/>
        <v/>
      </c>
      <c r="X147" s="95">
        <f>IF(F$15=0,IF(AND(G147=G199,NOT(G147=G173),NOT(G147=G225),LEN(W147)&gt;0),2,IF(LEN(W147)=0,0,1)),0)</f>
        <v>0</v>
      </c>
      <c r="Y147" s="95" t="str">
        <f t="shared" si="56"/>
        <v xml:space="preserve"> 0-0</v>
      </c>
      <c r="Z147" s="95" t="str">
        <f t="shared" si="57"/>
        <v xml:space="preserve"> 0-0</v>
      </c>
      <c r="AA147" s="95" t="str">
        <f t="shared" si="58"/>
        <v xml:space="preserve"> 0-0</v>
      </c>
      <c r="AB147" s="95" t="str">
        <f t="shared" si="59"/>
        <v xml:space="preserve"> 0-0</v>
      </c>
      <c r="AC147" s="95" t="str">
        <f>IF(AND(LEN(W147)&gt;0,F$15=0),IF(X147=2,W147&amp;" +2, ",W147&amp;", "),"")</f>
        <v/>
      </c>
    </row>
    <row r="148" spans="1:29">
      <c r="A148" s="95">
        <v>15</v>
      </c>
      <c r="B148" s="95">
        <f>IF(Doubles!F78="",0,Doubles!F78)</f>
        <v>0</v>
      </c>
      <c r="C148" s="99" t="str">
        <f>IF(OR(LEFT(B148,LEN(B$16))=B$16,LEFT(B148,LEN(C$16))=C$16,LEN(B148)&lt;2),"",IF(B148="no pick","","Wrong pick"))</f>
        <v/>
      </c>
      <c r="D148" s="95">
        <f t="shared" si="46"/>
        <v>0</v>
      </c>
      <c r="E148" s="95">
        <f t="shared" si="47"/>
        <v>1</v>
      </c>
      <c r="G148" s="95" t="str">
        <f>IF(B148=0,"",IF(B148="no pick","No Pick",IF(LEFT(B148,LEN(B$16))=B$16,B$16,C$16)))</f>
        <v/>
      </c>
      <c r="H148" s="95" t="str">
        <f t="shared" si="48"/>
        <v>0-0</v>
      </c>
      <c r="I148" s="95" t="str">
        <f>IF(AND(J148=$I$2,F$16=0,NOT(E$16="")),IF(OR(AND(Y148=AA148,Z148=AB148),AND(Y148=AB148,Z148=AA148)),"",IF(AND(Y148=Z148,AA148=AB148),Y148&amp;" +2 v. "&amp;AA148&amp;" +2, ",IF(Y148=AA148,Z148&amp;" v. "&amp;AB148&amp;", ",IF(Z148=AB148,Y148&amp;" v. "&amp;AA148&amp;", ",IF(Y148=AB148,Z148&amp;" v. "&amp;AA148&amp;", ",IF(Z148=AA148,Y148&amp;" v. "&amp;AB148&amp;", ",Y148&amp;" v. "&amp;AA148&amp;", "&amp;Z148&amp;" v. "&amp;AB148&amp;", ")))))),"")</f>
        <v/>
      </c>
      <c r="J148" s="97">
        <f>D$16</f>
        <v>1</v>
      </c>
      <c r="K148" s="95" t="str">
        <f t="shared" si="49"/>
        <v>SR</v>
      </c>
      <c r="L148" s="95" t="str">
        <f t="shared" si="50"/>
        <v>0</v>
      </c>
      <c r="M148" s="95" t="str">
        <f t="shared" si="51"/>
        <v>0</v>
      </c>
      <c r="N148" s="95" t="str">
        <f t="shared" si="52"/>
        <v>0</v>
      </c>
      <c r="O148" s="95" t="str">
        <f t="shared" si="53"/>
        <v>0</v>
      </c>
      <c r="P148" s="95" t="str">
        <f t="shared" si="54"/>
        <v>0</v>
      </c>
      <c r="Q148" s="95">
        <f>IF(AND(G148=T$16,LEN(G148)&gt;1),1,0)</f>
        <v>0</v>
      </c>
      <c r="R148" s="97">
        <f>Doubles!G$16</f>
        <v>15</v>
      </c>
      <c r="S148" s="95">
        <f>IF(AND(H148=H$16,LEN(H148)&gt;1,Q148=1),1,0)</f>
        <v>0</v>
      </c>
      <c r="T148" s="95" t="s">
        <v>128</v>
      </c>
      <c r="U148" s="95" t="str">
        <f>IF(T143&lt;10,"0","")&amp;T143&amp;":"&amp;IF(T144&lt;10,"0","")&amp;T144&amp;" | "&amp;IF(AND(A133&gt;0,A133&lt;33,B133&amp;"/"&amp;B185=U147),"[b][color=Blue]"&amp;T133&amp;"/"&amp;T185&amp;" ("&amp;D133&amp;"/"&amp;D185&amp;")[/color][/b]",IF(B133&amp;"/"&amp;B185=U147,"[color=Blue]"&amp;T133&amp;"/"&amp;T185&amp;" ("&amp;D133&amp;"/"&amp;D185&amp;")[/color]",IF(AND(A133&gt;0,A133&lt;33),"[b]"&amp;T133&amp;"/"&amp;T185&amp;" ("&amp;D133&amp;"/"&amp;D185&amp;")[/b]",T133&amp;"/"&amp;T185&amp;IF(LEN(D133)&gt;1," ("&amp;D133&amp;"/"&amp;D185&amp;")",""))))&amp;" vs. "&amp;IF(AND(A159&gt;0,A159&lt;33,B159&amp;"/"&amp;B211=U147),"[b][color=Blue]"&amp;T159&amp;"/"&amp;T211&amp;" ("&amp;D159&amp;"/"&amp;D211&amp;")[/color][/b]",IF(B159&amp;"/"&amp;B211=U147,"[color=Blue]"&amp;T159&amp;"/"&amp;T211&amp;" ("&amp;D159&amp;"/"&amp;D211&amp;")[/color]",IF(AND(A159&gt;0,A159&lt;33),"[b]"&amp;T159&amp;"/"&amp;T211&amp;" ("&amp;D159&amp;"/"&amp;D211&amp;")[/b]",T159&amp;"/"&amp;T211&amp;IF(LEN(D159)&gt;1," ("&amp;D159&amp;"/"&amp;D211&amp;")",""))))&amp;IF(OR(Doubles!$D$25="yes",T143=T144)," #SRs: "&amp;U143&amp;"-"&amp;U144,"")</f>
        <v>00:00 | gabrieltufao/igorpetrov (BRA/XXX) vs. [b](4) hahaha7/Superior1 (CRO/CRO)[/b] #SRs: 0-0</v>
      </c>
      <c r="V148" s="97">
        <f>VLOOKUP(15,R134:S157,2,0)</f>
        <v>0</v>
      </c>
      <c r="W148" s="95" t="str">
        <f t="shared" si="55"/>
        <v/>
      </c>
      <c r="X148" s="95">
        <f>IF(F$16=0,IF(AND(G148=G200,NOT(G148=G174),NOT(G148=G226),LEN(W148)&gt;0),2,IF(LEN(W148)=0,0,1)),0)</f>
        <v>0</v>
      </c>
      <c r="Y148" s="95" t="str">
        <f t="shared" si="56"/>
        <v xml:space="preserve"> 0-0</v>
      </c>
      <c r="Z148" s="95" t="str">
        <f t="shared" si="57"/>
        <v xml:space="preserve"> 0-0</v>
      </c>
      <c r="AA148" s="95" t="str">
        <f t="shared" si="58"/>
        <v xml:space="preserve"> 0-0</v>
      </c>
      <c r="AB148" s="95" t="str">
        <f t="shared" si="59"/>
        <v xml:space="preserve"> 0-0</v>
      </c>
      <c r="AC148" s="95" t="str">
        <f>IF(AND(LEN(W148)&gt;0,F$16=0),IF(X148=2,W148&amp;" +2, ",W148&amp;", "),"")</f>
        <v/>
      </c>
    </row>
    <row r="149" spans="1:29">
      <c r="A149" s="95">
        <v>16</v>
      </c>
      <c r="B149" s="95">
        <f>IF(Doubles!F79="",0,Doubles!F79)</f>
        <v>0</v>
      </c>
      <c r="C149" s="99" t="str">
        <f>IF(OR(LEFT(B149,LEN(B$17))=B$17,LEFT(B149,LEN(C$17))=C$17,LEN(B149)&lt;2),"",IF(B149="no pick","","Wrong pick"))</f>
        <v/>
      </c>
      <c r="D149" s="95">
        <f t="shared" si="46"/>
        <v>0</v>
      </c>
      <c r="E149" s="95">
        <f t="shared" si="47"/>
        <v>1</v>
      </c>
      <c r="G149" s="95" t="str">
        <f>IF(B149=0,"",IF(B149="no pick","No Pick",IF(LEFT(B149,LEN(B$17))=B$17,B$17,C$17)))</f>
        <v/>
      </c>
      <c r="H149" s="95" t="str">
        <f t="shared" si="48"/>
        <v>0-0</v>
      </c>
      <c r="I149" s="95" t="str">
        <f>IF(AND(J149=$I$2,F$17=0,NOT(E$17="")),IF(OR(AND(Y149=AA149,Z149=AB149),AND(Y149=AB149,Z149=AA149)),"",IF(AND(Y149=Z149,AA149=AB149),Y149&amp;" +2 v. "&amp;AA149&amp;" +2, ",IF(Y149=AA149,Z149&amp;" v. "&amp;AB149&amp;", ",IF(Z149=AB149,Y149&amp;" v. "&amp;AA149&amp;", ",IF(Y149=AB149,Z149&amp;" v. "&amp;AA149&amp;", ",IF(Z149=AA149,Y149&amp;" v. "&amp;AB149&amp;", ",Y149&amp;" v. "&amp;AA149&amp;", "&amp;Z149&amp;" v. "&amp;AB149&amp;", ")))))),"")</f>
        <v/>
      </c>
      <c r="J149" s="97">
        <f>D$17</f>
        <v>1</v>
      </c>
      <c r="K149" s="95" t="str">
        <f t="shared" si="49"/>
        <v>SR</v>
      </c>
      <c r="L149" s="95" t="str">
        <f t="shared" si="50"/>
        <v>0</v>
      </c>
      <c r="M149" s="95" t="str">
        <f t="shared" si="51"/>
        <v>0</v>
      </c>
      <c r="N149" s="95" t="str">
        <f t="shared" si="52"/>
        <v>0</v>
      </c>
      <c r="O149" s="95" t="str">
        <f t="shared" si="53"/>
        <v>0</v>
      </c>
      <c r="P149" s="95" t="str">
        <f t="shared" si="54"/>
        <v>0</v>
      </c>
      <c r="Q149" s="95">
        <f>IF(AND(G149=T$17,LEN(G149)&gt;1),1,0)</f>
        <v>0</v>
      </c>
      <c r="R149" s="97">
        <f>Doubles!G$17</f>
        <v>16</v>
      </c>
      <c r="S149" s="95">
        <f>IF(AND(H149=H$17,LEN(H149)&gt;1,Q149=1),1,0)</f>
        <v>0</v>
      </c>
      <c r="V149" s="97">
        <f>VLOOKUP(16,R134:S157,2,0)</f>
        <v>0</v>
      </c>
      <c r="W149" s="95" t="str">
        <f t="shared" si="55"/>
        <v/>
      </c>
      <c r="X149" s="95">
        <f>IF(F$17=0,IF(AND(G149=G201,NOT(G149=G175),NOT(G149=G227),LEN(W149)&gt;0),2,IF(LEN(W149)=0,0,1)),0)</f>
        <v>0</v>
      </c>
      <c r="Y149" s="95" t="str">
        <f t="shared" si="56"/>
        <v xml:space="preserve"> 0-0</v>
      </c>
      <c r="Z149" s="95" t="str">
        <f t="shared" si="57"/>
        <v xml:space="preserve"> 0-0</v>
      </c>
      <c r="AA149" s="95" t="str">
        <f t="shared" si="58"/>
        <v xml:space="preserve"> 0-0</v>
      </c>
      <c r="AB149" s="95" t="str">
        <f t="shared" si="59"/>
        <v xml:space="preserve"> 0-0</v>
      </c>
      <c r="AC149" s="95" t="str">
        <f>IF(AND(LEN(W149)&gt;0,F$17=0),IF(X149=2,W149&amp;" +2, ",W149&amp;", "),"")</f>
        <v/>
      </c>
    </row>
    <row r="150" spans="1:29">
      <c r="A150" s="95">
        <v>17</v>
      </c>
      <c r="B150" s="95">
        <f>IF(Doubles!F80="",0,Doubles!F80)</f>
        <v>0</v>
      </c>
      <c r="C150" s="99" t="str">
        <f>IF(OR(LEFT(B150,LEN(B$18))=B$18,LEFT(B150,LEN(C$18))=C$18,LEN(B150)&lt;2),"",IF(B150="no pick","","Wrong pick"))</f>
        <v/>
      </c>
      <c r="D150" s="95">
        <f t="shared" si="46"/>
        <v>0</v>
      </c>
      <c r="E150" s="95">
        <f t="shared" si="47"/>
        <v>0</v>
      </c>
      <c r="G150" s="95" t="str">
        <f>IF(B150=0,"",IF(B150="no pick","No Pick",IF(LEFT(B150,LEN(B$18))=B$18,B$18,C$18)))</f>
        <v/>
      </c>
      <c r="H150" s="95" t="str">
        <f t="shared" si="48"/>
        <v>0-0</v>
      </c>
      <c r="I150" s="95" t="str">
        <f>IF(AND(J150=$I$2,F$18=0,NOT(E$18="")),IF(OR(AND(Y150=AA150,Z150=AB150),AND(Y150=AB150,Z150=AA150)),"",IF(AND(Y150=Z150,AA150=AB150),Y150&amp;" +2 v. "&amp;AA150&amp;" +2, ",IF(Y150=AA150,Z150&amp;" v. "&amp;AB150&amp;", ",IF(Z150=AB150,Y150&amp;" v. "&amp;AA150&amp;", ",IF(Y150=AB150,Z150&amp;" v. "&amp;AA150&amp;", ",IF(Z150=AA150,Y150&amp;" v. "&amp;AB150&amp;", ",Y150&amp;" v. "&amp;AA150&amp;", "&amp;Z150&amp;" v. "&amp;AB150&amp;", ")))))),"")</f>
        <v/>
      </c>
      <c r="J150" s="95">
        <f>D$18</f>
        <v>0</v>
      </c>
      <c r="K150" s="95" t="str">
        <f t="shared" si="49"/>
        <v>SR</v>
      </c>
      <c r="L150" s="95" t="str">
        <f t="shared" si="50"/>
        <v>0</v>
      </c>
      <c r="M150" s="95" t="str">
        <f t="shared" si="51"/>
        <v>0</v>
      </c>
      <c r="N150" s="95" t="str">
        <f t="shared" si="52"/>
        <v>0</v>
      </c>
      <c r="O150" s="95" t="str">
        <f t="shared" si="53"/>
        <v>0</v>
      </c>
      <c r="P150" s="95" t="str">
        <f t="shared" si="54"/>
        <v>0</v>
      </c>
      <c r="Q150" s="95">
        <f>IF(AND(G150=T$18,LEN(G150)&gt;1),1,0)</f>
        <v>0</v>
      </c>
      <c r="R150" s="97">
        <f>Doubles!G$18</f>
        <v>17</v>
      </c>
      <c r="S150" s="95">
        <f>IF(AND(H150=H$18,LEN(H150)&gt;1,Q150=1),1,0)</f>
        <v>0</v>
      </c>
      <c r="T150" s="95" t="str">
        <f>IF(Doubles!$D$22=$F$26,IF(T143&gt;T144,B133,IF(T143&lt;T144,B159,IF(U143&gt;U144,B133,IF(U143&lt;U144,B159,"")))),"")</f>
        <v/>
      </c>
      <c r="U150" s="95" t="str">
        <f>IF(Doubles!$D$22=$F$26,IF(T143&gt;T144,B185,IF(T143&lt;T144,B211,IF(U143&gt;U144,B185,IF(U143&lt;U144,B211,"")))),"")</f>
        <v/>
      </c>
      <c r="V150" s="95">
        <f>VLOOKUP(17,R134:S157,2,0)</f>
        <v>0</v>
      </c>
      <c r="W150" s="95" t="str">
        <f t="shared" si="55"/>
        <v/>
      </c>
      <c r="X150" s="95">
        <f>IF(F$18=0,IF(AND(G150=G202,NOT(G150=G176),NOT(G150=G228),LEN(W150)&gt;0),2,IF(LEN(W150)=0,0,1)),0)</f>
        <v>0</v>
      </c>
      <c r="Y150" s="95" t="str">
        <f t="shared" si="56"/>
        <v xml:space="preserve"> 0-0</v>
      </c>
      <c r="Z150" s="95" t="str">
        <f t="shared" si="57"/>
        <v xml:space="preserve"> 0-0</v>
      </c>
      <c r="AA150" s="95" t="str">
        <f t="shared" si="58"/>
        <v xml:space="preserve"> 0-0</v>
      </c>
      <c r="AB150" s="95" t="str">
        <f t="shared" si="59"/>
        <v xml:space="preserve"> 0-0</v>
      </c>
      <c r="AC150" s="95" t="str">
        <f>IF(AND(LEN(W150)&gt;0,F$18=0),IF(X150=2,W150&amp;" +2, ",W150&amp;", "),"")</f>
        <v/>
      </c>
    </row>
    <row r="151" spans="1:29">
      <c r="A151" s="95">
        <v>18</v>
      </c>
      <c r="B151" s="95">
        <f>IF(Doubles!F81="",0,Doubles!F81)</f>
        <v>0</v>
      </c>
      <c r="C151" s="99" t="str">
        <f>IF(OR(LEFT(B151,LEN(B$19))=B$19,LEFT(B151,LEN(C$19))=C$19,LEN(B151)&lt;2),"",IF(B151="no pick","","Wrong pick"))</f>
        <v/>
      </c>
      <c r="D151" s="95">
        <f t="shared" si="46"/>
        <v>0</v>
      </c>
      <c r="E151" s="95">
        <f t="shared" si="47"/>
        <v>0</v>
      </c>
      <c r="G151" s="95" t="str">
        <f>IF(B151=0,"",IF(B151="no pick","No Pick",IF(LEFT(B151,LEN(B$19))=B$19,B$19,C$19)))</f>
        <v/>
      </c>
      <c r="H151" s="95" t="str">
        <f t="shared" si="48"/>
        <v>0-0</v>
      </c>
      <c r="I151" s="95" t="str">
        <f>IF(AND(J151=$I$2,F$19=0,NOT(E$19="")),IF(OR(AND(Y151=AA151,Z151=AB151),AND(Y151=AB151,Z151=AA151)),"",IF(AND(Y151=Z151,AA151=AB151),Y151&amp;" +2 v. "&amp;AA151&amp;" +2, ",IF(Y151=AA151,Z151&amp;" v. "&amp;AB151&amp;", ",IF(Z151=AB151,Y151&amp;" v. "&amp;AA151&amp;", ",IF(Y151=AB151,Z151&amp;" v. "&amp;AA151&amp;", ",IF(Z151=AA151,Y151&amp;" v. "&amp;AB151&amp;", ",Y151&amp;" v. "&amp;AA151&amp;", "&amp;Z151&amp;" v. "&amp;AB151&amp;", ")))))),"")</f>
        <v/>
      </c>
      <c r="J151" s="95">
        <f>D$19</f>
        <v>0</v>
      </c>
      <c r="K151" s="95" t="str">
        <f t="shared" si="49"/>
        <v>SR</v>
      </c>
      <c r="L151" s="95" t="str">
        <f t="shared" si="50"/>
        <v>0</v>
      </c>
      <c r="M151" s="95" t="str">
        <f t="shared" si="51"/>
        <v>0</v>
      </c>
      <c r="N151" s="95" t="str">
        <f t="shared" si="52"/>
        <v>0</v>
      </c>
      <c r="O151" s="95" t="str">
        <f t="shared" si="53"/>
        <v>0</v>
      </c>
      <c r="P151" s="95" t="str">
        <f t="shared" si="54"/>
        <v>0</v>
      </c>
      <c r="Q151" s="95">
        <f>IF(AND(G151=T$19,LEN(G151)&gt;1),1,0)</f>
        <v>0</v>
      </c>
      <c r="R151" s="97">
        <f>Doubles!G$19</f>
        <v>18</v>
      </c>
      <c r="S151" s="95">
        <f>IF(AND(H151=H$19,LEN(H151)&gt;1,Q151=1),1,0)</f>
        <v>0</v>
      </c>
      <c r="V151" s="97">
        <f>VLOOKUP(18,R134:S157,2,0)</f>
        <v>0</v>
      </c>
      <c r="W151" s="95" t="str">
        <f t="shared" si="55"/>
        <v/>
      </c>
      <c r="X151" s="95">
        <f>IF(F$19=0,IF(AND(G151=G203,NOT(G151=G177),NOT(G151=G229),LEN(W151)&gt;0),2,IF(LEN(W151)=0,0,1)),0)</f>
        <v>0</v>
      </c>
      <c r="Y151" s="95" t="str">
        <f t="shared" si="56"/>
        <v xml:space="preserve"> 0-0</v>
      </c>
      <c r="Z151" s="95" t="str">
        <f t="shared" si="57"/>
        <v xml:space="preserve"> 0-0</v>
      </c>
      <c r="AA151" s="95" t="str">
        <f t="shared" si="58"/>
        <v xml:space="preserve"> 0-0</v>
      </c>
      <c r="AB151" s="95" t="str">
        <f t="shared" si="59"/>
        <v xml:space="preserve"> 0-0</v>
      </c>
      <c r="AC151" s="95" t="str">
        <f>IF(AND(LEN(W151)&gt;0,F$19=0),IF(X151=2,W151&amp;" +2, ",W151&amp;", "),"")</f>
        <v/>
      </c>
    </row>
    <row r="152" spans="1:29">
      <c r="A152" s="95">
        <v>19</v>
      </c>
      <c r="B152" s="95">
        <f>IF(Doubles!F82="",0,Doubles!F82)</f>
        <v>0</v>
      </c>
      <c r="C152" s="99" t="str">
        <f>IF(OR(LEFT(B152,LEN(B$20))=B$20,LEFT(B152,LEN(C$20))=C$20,LEN(B152)&lt;2),"",IF(B152="no pick","","Wrong pick"))</f>
        <v/>
      </c>
      <c r="D152" s="95">
        <f t="shared" si="46"/>
        <v>0</v>
      </c>
      <c r="E152" s="95">
        <f t="shared" si="47"/>
        <v>0</v>
      </c>
      <c r="G152" s="95" t="str">
        <f>IF(B152=0,"",IF(B152="no pick","No Pick",IF(LEFT(B152,LEN(B$20))=B$20,B$20,C$20)))</f>
        <v/>
      </c>
      <c r="H152" s="95" t="str">
        <f t="shared" si="48"/>
        <v>0-0</v>
      </c>
      <c r="I152" s="95" t="str">
        <f>IF(AND(J152=$I$2,F$20=0,NOT(E$20="")),IF(OR(AND(Y152=AA152,Z152=AB152),AND(Y152=AB152,Z152=AA152)),"",IF(AND(Y152=Z152,AA152=AB152),Y152&amp;" +2 v. "&amp;AA152&amp;" +2, ",IF(Y152=AA152,Z152&amp;" v. "&amp;AB152&amp;", ",IF(Z152=AB152,Y152&amp;" v. "&amp;AA152&amp;", ",IF(Y152=AB152,Z152&amp;" v. "&amp;AA152&amp;", ",IF(Z152=AA152,Y152&amp;" v. "&amp;AB152&amp;", ",Y152&amp;" v. "&amp;AA152&amp;", "&amp;Z152&amp;" v. "&amp;AB152&amp;", ")))))),"")</f>
        <v/>
      </c>
      <c r="J152" s="95">
        <f>D$20</f>
        <v>0</v>
      </c>
      <c r="K152" s="95" t="str">
        <f t="shared" si="49"/>
        <v>SR</v>
      </c>
      <c r="L152" s="95" t="str">
        <f t="shared" si="50"/>
        <v>0</v>
      </c>
      <c r="M152" s="95" t="str">
        <f t="shared" si="51"/>
        <v>0</v>
      </c>
      <c r="N152" s="95" t="str">
        <f t="shared" si="52"/>
        <v>0</v>
      </c>
      <c r="O152" s="95" t="str">
        <f t="shared" si="53"/>
        <v>0</v>
      </c>
      <c r="P152" s="95" t="str">
        <f t="shared" si="54"/>
        <v>0</v>
      </c>
      <c r="Q152" s="95">
        <f>IF(AND(G152=T$20,LEN(G152)&gt;1),1,0)</f>
        <v>0</v>
      </c>
      <c r="R152" s="97">
        <f>Doubles!G$20</f>
        <v>19</v>
      </c>
      <c r="S152" s="95">
        <f>IF(AND(H152=H$20,LEN(H152)&gt;1,Q152=1),1,0)</f>
        <v>0</v>
      </c>
      <c r="V152" s="97">
        <f>VLOOKUP(19,R134:S157,2,0)</f>
        <v>0</v>
      </c>
      <c r="W152" s="95" t="str">
        <f t="shared" si="55"/>
        <v/>
      </c>
      <c r="X152" s="95">
        <f>IF(F$20=0,IF(AND(G152=G204,NOT(G152=G178),NOT(G152=G230),LEN(W152)&gt;0),2,IF(LEN(W152)=0,0,1)),0)</f>
        <v>0</v>
      </c>
      <c r="Y152" s="95" t="str">
        <f t="shared" si="56"/>
        <v xml:space="preserve"> 0-0</v>
      </c>
      <c r="Z152" s="95" t="str">
        <f t="shared" si="57"/>
        <v xml:space="preserve"> 0-0</v>
      </c>
      <c r="AA152" s="95" t="str">
        <f t="shared" si="58"/>
        <v xml:space="preserve"> 0-0</v>
      </c>
      <c r="AB152" s="95" t="str">
        <f t="shared" si="59"/>
        <v xml:space="preserve"> 0-0</v>
      </c>
      <c r="AC152" s="95" t="str">
        <f>IF(AND(LEN(W152)&gt;0,F$20=0),IF(X152=2,W152&amp;" +2, ",W152&amp;", "),"")</f>
        <v/>
      </c>
    </row>
    <row r="153" spans="1:29">
      <c r="A153" s="95">
        <v>20</v>
      </c>
      <c r="B153" s="95">
        <f>IF(Doubles!F83="",0,Doubles!F83)</f>
        <v>0</v>
      </c>
      <c r="C153" s="99" t="str">
        <f>IF(OR(LEFT(B153,LEN(B$21))=B$21,LEFT(B153,LEN(C$21))=C$21,LEN(B153)&lt;2),"",IF(B153="no pick","","Wrong pick"))</f>
        <v/>
      </c>
      <c r="D153" s="95">
        <f t="shared" si="46"/>
        <v>0</v>
      </c>
      <c r="E153" s="95">
        <f t="shared" si="47"/>
        <v>0</v>
      </c>
      <c r="G153" s="95" t="str">
        <f>IF(B153=0,"",IF(B153="no pick","No Pick",IF(LEFT(B153,LEN(B$21))=B$21,B$21,C$21)))</f>
        <v/>
      </c>
      <c r="H153" s="95" t="str">
        <f t="shared" si="48"/>
        <v>0-0</v>
      </c>
      <c r="I153" s="95" t="str">
        <f>IF(AND(J153=$I$2,F$21=0,NOT(E$21="")),IF(OR(AND(Y153=AA153,Z153=AB153),AND(Y153=AB153,Z153=AA153)),"",IF(AND(Y153=Z153,AA153=AB153),Y153&amp;" +2 v. "&amp;AA153&amp;" +2, ",IF(Y153=AA153,Z153&amp;" v. "&amp;AB153&amp;", ",IF(Z153=AB153,Y153&amp;" v. "&amp;AA153&amp;", ",IF(Y153=AB153,Z153&amp;" v. "&amp;AA153&amp;", ",IF(Z153=AA153,Y153&amp;" v. "&amp;AB153&amp;", ",Y153&amp;" v. "&amp;AA153&amp;", "&amp;Z153&amp;" v. "&amp;AB153&amp;", ")))))),"")</f>
        <v/>
      </c>
      <c r="J153" s="95">
        <f>D$21</f>
        <v>0</v>
      </c>
      <c r="K153" s="95" t="str">
        <f t="shared" si="49"/>
        <v>SR</v>
      </c>
      <c r="L153" s="95" t="str">
        <f t="shared" si="50"/>
        <v>0</v>
      </c>
      <c r="M153" s="95" t="str">
        <f t="shared" si="51"/>
        <v>0</v>
      </c>
      <c r="N153" s="95" t="str">
        <f t="shared" si="52"/>
        <v>0</v>
      </c>
      <c r="O153" s="95" t="str">
        <f t="shared" si="53"/>
        <v>0</v>
      </c>
      <c r="P153" s="95" t="str">
        <f t="shared" si="54"/>
        <v>0</v>
      </c>
      <c r="Q153" s="95">
        <f>IF(AND(G153=T$21,LEN(G153)&gt;1),1,0)</f>
        <v>0</v>
      </c>
      <c r="R153" s="97">
        <f>Doubles!G$21</f>
        <v>20</v>
      </c>
      <c r="S153" s="95">
        <f>IF(AND(H153=H$21,LEN(H153)&gt;1,Q153=1),1,0)</f>
        <v>0</v>
      </c>
      <c r="V153" s="97">
        <f>VLOOKUP(20,R134:S157,2,0)</f>
        <v>0</v>
      </c>
      <c r="W153" s="95" t="str">
        <f t="shared" si="55"/>
        <v/>
      </c>
      <c r="X153" s="95">
        <f>IF(F$21=0,IF(AND(G153=G205,NOT(G153=G179),NOT(G153=G231),LEN(W153)&gt;0),2,IF(LEN(W153)=0,0,1)),0)</f>
        <v>0</v>
      </c>
      <c r="Y153" s="95" t="str">
        <f t="shared" si="56"/>
        <v xml:space="preserve"> 0-0</v>
      </c>
      <c r="Z153" s="95" t="str">
        <f t="shared" si="57"/>
        <v xml:space="preserve"> 0-0</v>
      </c>
      <c r="AA153" s="95" t="str">
        <f t="shared" si="58"/>
        <v xml:space="preserve"> 0-0</v>
      </c>
      <c r="AB153" s="95" t="str">
        <f t="shared" si="59"/>
        <v xml:space="preserve"> 0-0</v>
      </c>
      <c r="AC153" s="95" t="str">
        <f>IF(AND(LEN(W153)&gt;0,F$21=0),IF(X153=2,W153&amp;" +2, ",W153&amp;", "),"")</f>
        <v/>
      </c>
    </row>
    <row r="154" spans="1:29">
      <c r="A154" s="95">
        <v>21</v>
      </c>
      <c r="B154" s="95">
        <f>IF(Doubles!F84="",0,Doubles!F84)</f>
        <v>0</v>
      </c>
      <c r="C154" s="99" t="str">
        <f>IF(OR(LEFT(B154,LEN(B$22))=B$22,LEFT(B154,LEN(C$22))=C$22,LEN(B154)&lt;2),"",IF(B154="no pick","","Wrong pick"))</f>
        <v/>
      </c>
      <c r="D154" s="95">
        <f t="shared" si="46"/>
        <v>0</v>
      </c>
      <c r="E154" s="95">
        <f t="shared" si="47"/>
        <v>0</v>
      </c>
      <c r="G154" s="95" t="str">
        <f>IF(B154=0,"",IF(B154="no pick","No Pick",IF(LEFT(B154,LEN(B$22))=B$22,B$22,C$22)))</f>
        <v/>
      </c>
      <c r="H154" s="95" t="str">
        <f t="shared" si="48"/>
        <v>0-0</v>
      </c>
      <c r="I154" s="95" t="str">
        <f>IF(AND(J154=$I$2,F$22=0,NOT(E$22="")),IF(OR(AND(Y154=AA154,Z154=AB154),AND(Y154=AB154,Z154=AA154)),"",IF(AND(Y154=Z154,AA154=AB154),Y154&amp;" +2 v. "&amp;AA154&amp;" +2, ",IF(Y154=AA154,Z154&amp;" v. "&amp;AB154&amp;", ",IF(Z154=AB154,Y154&amp;" v. "&amp;AA154&amp;", ",IF(Y154=AB154,Z154&amp;" v. "&amp;AA154&amp;", ",IF(Z154=AA154,Y154&amp;" v. "&amp;AB154&amp;", ",Y154&amp;" v. "&amp;AA154&amp;", "&amp;Z154&amp;" v. "&amp;AB154&amp;", ")))))),"")</f>
        <v/>
      </c>
      <c r="J154" s="95">
        <f>D$22</f>
        <v>0</v>
      </c>
      <c r="K154" s="95" t="str">
        <f t="shared" si="49"/>
        <v>SR</v>
      </c>
      <c r="L154" s="95" t="str">
        <f t="shared" si="50"/>
        <v>0</v>
      </c>
      <c r="M154" s="95" t="str">
        <f t="shared" si="51"/>
        <v>0</v>
      </c>
      <c r="N154" s="95" t="str">
        <f t="shared" si="52"/>
        <v>0</v>
      </c>
      <c r="O154" s="95" t="str">
        <f t="shared" si="53"/>
        <v>0</v>
      </c>
      <c r="P154" s="95" t="str">
        <f t="shared" si="54"/>
        <v>0</v>
      </c>
      <c r="Q154" s="95">
        <f>IF(AND(G154=T$22,LEN(G154)&gt;1),1,0)</f>
        <v>0</v>
      </c>
      <c r="R154" s="97">
        <f>Doubles!G$22</f>
        <v>21</v>
      </c>
      <c r="S154" s="95">
        <f>IF(AND(H154=H$22,LEN(H154)&gt;1,Q154=1),1,0)</f>
        <v>0</v>
      </c>
      <c r="V154" s="97">
        <f>VLOOKUP(21,R134:S157,2,0)</f>
        <v>0</v>
      </c>
      <c r="W154" s="95" t="str">
        <f t="shared" si="55"/>
        <v/>
      </c>
      <c r="X154" s="95">
        <f>IF(F$22=0,IF(AND(G154=G206,NOT(G154=G180),NOT(G154=G232),LEN(W154)&gt;0),2,IF(LEN(W154)=0,0,1)),0)</f>
        <v>0</v>
      </c>
      <c r="Y154" s="95" t="str">
        <f t="shared" si="56"/>
        <v xml:space="preserve"> 0-0</v>
      </c>
      <c r="Z154" s="95" t="str">
        <f t="shared" si="57"/>
        <v xml:space="preserve"> 0-0</v>
      </c>
      <c r="AA154" s="95" t="str">
        <f t="shared" si="58"/>
        <v xml:space="preserve"> 0-0</v>
      </c>
      <c r="AB154" s="95" t="str">
        <f t="shared" si="59"/>
        <v xml:space="preserve"> 0-0</v>
      </c>
      <c r="AC154" s="95" t="str">
        <f>IF(AND(LEN(W154)&gt;0,F$22=0),IF(X154=2,W154&amp;" +2, ",W154&amp;", "),"")</f>
        <v/>
      </c>
    </row>
    <row r="155" spans="1:29">
      <c r="A155" s="95">
        <v>22</v>
      </c>
      <c r="B155" s="95">
        <f>IF(Doubles!F85="",0,Doubles!F85)</f>
        <v>0</v>
      </c>
      <c r="C155" s="99" t="str">
        <f>IF(OR(LEFT(B155,LEN(B$23))=B$23,LEFT(B155,LEN(C$23))=C$23,LEN(B155)&lt;2),"",IF(B155="no pick","","Wrong pick"))</f>
        <v/>
      </c>
      <c r="D155" s="95">
        <f t="shared" si="46"/>
        <v>0</v>
      </c>
      <c r="E155" s="95">
        <f t="shared" si="47"/>
        <v>0</v>
      </c>
      <c r="G155" s="95" t="str">
        <f>IF(B155=0,"",IF(B155="no pick","No Pick",IF(LEFT(B155,LEN(B$23))=B$23,B$23,C$23)))</f>
        <v/>
      </c>
      <c r="H155" s="95" t="str">
        <f t="shared" si="48"/>
        <v>0-0</v>
      </c>
      <c r="I155" s="95" t="str">
        <f>IF(AND(J155=$I$2,F$23=0,NOT(E$23="")),IF(OR(AND(Y155=AA155,Z155=AB155),AND(Y155=AB155,Z155=AA155)),"",IF(AND(Y155=Z155,AA155=AB155),Y155&amp;" +2 v. "&amp;AA155&amp;" +2, ",IF(Y155=AA155,Z155&amp;" v. "&amp;AB155&amp;", ",IF(Z155=AB155,Y155&amp;" v. "&amp;AA155&amp;", ",IF(Y155=AB155,Z155&amp;" v. "&amp;AA155&amp;", ",IF(Z155=AA155,Y155&amp;" v. "&amp;AB155&amp;", ",Y155&amp;" v. "&amp;AA155&amp;", "&amp;Z155&amp;" v. "&amp;AB155&amp;", ")))))),"")</f>
        <v/>
      </c>
      <c r="J155" s="95">
        <f>D$23</f>
        <v>0</v>
      </c>
      <c r="K155" s="95" t="str">
        <f t="shared" si="49"/>
        <v>SR</v>
      </c>
      <c r="L155" s="95" t="str">
        <f t="shared" si="50"/>
        <v>0</v>
      </c>
      <c r="M155" s="95" t="str">
        <f t="shared" si="51"/>
        <v>0</v>
      </c>
      <c r="N155" s="95" t="str">
        <f t="shared" si="52"/>
        <v>0</v>
      </c>
      <c r="O155" s="95" t="str">
        <f t="shared" si="53"/>
        <v>0</v>
      </c>
      <c r="P155" s="95" t="str">
        <f t="shared" si="54"/>
        <v>0</v>
      </c>
      <c r="Q155" s="95">
        <f>IF(AND(G155=T$23,LEN(G155)&gt;1),1,0)</f>
        <v>0</v>
      </c>
      <c r="R155" s="97">
        <f>Doubles!G$23</f>
        <v>22</v>
      </c>
      <c r="S155" s="95">
        <f>IF(AND(H155=H$23,LEN(H155)&gt;1,Q155=1),1,0)</f>
        <v>0</v>
      </c>
      <c r="V155" s="97">
        <f>VLOOKUP(22,R134:S157,2,0)</f>
        <v>0</v>
      </c>
      <c r="W155" s="95" t="str">
        <f t="shared" si="55"/>
        <v/>
      </c>
      <c r="X155" s="95">
        <f>IF(F$23=0,IF(AND(G155=G207,NOT(G155=G181),NOT(G155=G233),LEN(W155)&gt;0),2,IF(LEN(W155)=0,0,1)),0)</f>
        <v>0</v>
      </c>
      <c r="Y155" s="95" t="str">
        <f t="shared" si="56"/>
        <v xml:space="preserve"> 0-0</v>
      </c>
      <c r="Z155" s="95" t="str">
        <f t="shared" si="57"/>
        <v xml:space="preserve"> 0-0</v>
      </c>
      <c r="AA155" s="95" t="str">
        <f t="shared" si="58"/>
        <v xml:space="preserve"> 0-0</v>
      </c>
      <c r="AB155" s="95" t="str">
        <f t="shared" si="59"/>
        <v xml:space="preserve"> 0-0</v>
      </c>
      <c r="AC155" s="95" t="str">
        <f>IF(AND(LEN(W155)&gt;0,F$23=0),IF(X155=2,W155&amp;" +2, ",W155&amp;", "),"")</f>
        <v/>
      </c>
    </row>
    <row r="156" spans="1:29">
      <c r="A156" s="95">
        <v>23</v>
      </c>
      <c r="B156" s="95">
        <f>IF(Doubles!F86="",0,Doubles!F86)</f>
        <v>0</v>
      </c>
      <c r="C156" s="99" t="str">
        <f>IF(OR(LEFT(B156,LEN(B$24))=B$24,LEFT(B156,LEN(C$24))=C$24,LEN(B156)&lt;2),"",IF(B156="no pick","","Wrong pick"))</f>
        <v/>
      </c>
      <c r="D156" s="95">
        <f t="shared" si="46"/>
        <v>0</v>
      </c>
      <c r="E156" s="95">
        <f t="shared" si="47"/>
        <v>0</v>
      </c>
      <c r="G156" s="95" t="str">
        <f>IF(B156=0,"",IF(B156="no pick","No Pick",IF(LEFT(B156,LEN(B$24))=B$24,B$24,C$24)))</f>
        <v/>
      </c>
      <c r="H156" s="95" t="str">
        <f t="shared" si="48"/>
        <v>0-0</v>
      </c>
      <c r="I156" s="95" t="str">
        <f>IF(AND(J156=$I$2,F$24=0,NOT(E$24="")),IF(OR(AND(Y156=AA156,Z156=AB156),AND(Y156=AB156,Z156=AA156)),"",IF(AND(Y156=Z156,AA156=AB156),Y156&amp;" +2 v. "&amp;AA156&amp;" +2, ",IF(Y156=AA156,Z156&amp;" v. "&amp;AB156&amp;", ",IF(Z156=AB156,Y156&amp;" v. "&amp;AA156&amp;", ",IF(Y156=AB156,Z156&amp;" v. "&amp;AA156&amp;", ",IF(Z156=AA156,Y156&amp;" v. "&amp;AB156&amp;", ",Y156&amp;" v. "&amp;AA156&amp;", "&amp;Z156&amp;" v. "&amp;AB156&amp;", ")))))),"")</f>
        <v/>
      </c>
      <c r="J156" s="95">
        <f>D$24</f>
        <v>0</v>
      </c>
      <c r="K156" s="95" t="str">
        <f t="shared" si="49"/>
        <v>SR</v>
      </c>
      <c r="L156" s="95" t="str">
        <f t="shared" si="50"/>
        <v>0</v>
      </c>
      <c r="M156" s="95" t="str">
        <f t="shared" si="51"/>
        <v>0</v>
      </c>
      <c r="N156" s="95" t="str">
        <f t="shared" si="52"/>
        <v>0</v>
      </c>
      <c r="O156" s="95" t="str">
        <f t="shared" si="53"/>
        <v>0</v>
      </c>
      <c r="P156" s="95" t="str">
        <f t="shared" si="54"/>
        <v>0</v>
      </c>
      <c r="Q156" s="95">
        <f>IF(AND(G156=T$24,LEN(G156)&gt;1),1,0)</f>
        <v>0</v>
      </c>
      <c r="R156" s="97">
        <f>Doubles!G$24</f>
        <v>23</v>
      </c>
      <c r="S156" s="95">
        <f>IF(AND(H156=H$24,LEN(H156)&gt;1,Q156=1),1,0)</f>
        <v>0</v>
      </c>
      <c r="V156" s="97">
        <f>VLOOKUP(23,R134:S157,2,0)</f>
        <v>0</v>
      </c>
      <c r="W156" s="95" t="str">
        <f t="shared" si="55"/>
        <v/>
      </c>
      <c r="X156" s="95">
        <f>IF(F$24=0,IF(AND(G156=G208,NOT(G156=G182),NOT(G156=G234),LEN(W156)&gt;0),2,IF(LEN(W156)=0,0,1)),0)</f>
        <v>0</v>
      </c>
      <c r="Y156" s="95" t="str">
        <f t="shared" si="56"/>
        <v xml:space="preserve"> 0-0</v>
      </c>
      <c r="Z156" s="95" t="str">
        <f t="shared" si="57"/>
        <v xml:space="preserve"> 0-0</v>
      </c>
      <c r="AA156" s="95" t="str">
        <f t="shared" si="58"/>
        <v xml:space="preserve"> 0-0</v>
      </c>
      <c r="AB156" s="95" t="str">
        <f t="shared" si="59"/>
        <v xml:space="preserve"> 0-0</v>
      </c>
      <c r="AC156" s="95" t="str">
        <f>IF(AND(LEN(W156)&gt;0,F$24=0),IF(X156=2,W156&amp;" +2, ",W156&amp;", "),"")</f>
        <v/>
      </c>
    </row>
    <row r="157" spans="1:29">
      <c r="A157" s="95">
        <v>24</v>
      </c>
      <c r="B157" s="95">
        <f>IF(Doubles!F87="",0,Doubles!F87)</f>
        <v>0</v>
      </c>
      <c r="C157" s="99" t="str">
        <f>IF(OR(LEFT(B157,LEN(B$25))=B$25,LEFT(B157,LEN(C$25))=C$25,LEN(B157)&lt;2),"",IF(B157="no pick","","Wrong pick"))</f>
        <v/>
      </c>
      <c r="D157" s="95">
        <f t="shared" si="46"/>
        <v>0</v>
      </c>
      <c r="E157" s="95">
        <f t="shared" si="47"/>
        <v>0</v>
      </c>
      <c r="G157" s="95" t="str">
        <f>IF(B157=0,"",IF(B157="no pick","No Pick",IF(LEFT(B157,LEN(B$25))=B$25,B$25,C$25)))</f>
        <v/>
      </c>
      <c r="H157" s="95" t="str">
        <f t="shared" si="48"/>
        <v>0-0</v>
      </c>
      <c r="I157" s="95" t="str">
        <f>IF(AND(J157=$I$2,F$25=0,NOT(E$25="")),IF(OR(AND(Y157=AA157,Z157=AB157),AND(Y157=AB157,Z157=AA157)),"",IF(AND(Y157=Z157,AA157=AB157),Y157&amp;" +2 v. "&amp;AA157&amp;" +2, ",IF(Y157=AA157,Z157&amp;" v. "&amp;AB157&amp;", ",IF(Z157=AB157,Y157&amp;" v. "&amp;AA157&amp;", ",IF(Y157=AB157,Z157&amp;" v. "&amp;AA157&amp;", ",IF(Z157=AA157,Y157&amp;" v. "&amp;AB157&amp;", ",Y157&amp;" v. "&amp;AA157&amp;", "&amp;Z157&amp;" v. "&amp;AB157&amp;", ")))))),"")</f>
        <v/>
      </c>
      <c r="J157" s="95">
        <f>D$25</f>
        <v>0</v>
      </c>
      <c r="K157" s="95" t="str">
        <f t="shared" si="49"/>
        <v>SR</v>
      </c>
      <c r="L157" s="95" t="str">
        <f t="shared" si="50"/>
        <v>0</v>
      </c>
      <c r="M157" s="95" t="str">
        <f t="shared" si="51"/>
        <v>0</v>
      </c>
      <c r="N157" s="95" t="str">
        <f t="shared" si="52"/>
        <v>0</v>
      </c>
      <c r="O157" s="95" t="str">
        <f t="shared" si="53"/>
        <v>0</v>
      </c>
      <c r="P157" s="95" t="str">
        <f t="shared" si="54"/>
        <v>0</v>
      </c>
      <c r="Q157" s="95">
        <f>IF(AND(G157=T$25,LEN(G157)&gt;1),1,0)</f>
        <v>0</v>
      </c>
      <c r="R157" s="97">
        <f>Doubles!G$25</f>
        <v>24</v>
      </c>
      <c r="S157" s="95">
        <f>IF(AND(H157=H$25,LEN(H157)&gt;1,Q157=1),1,0)</f>
        <v>0</v>
      </c>
      <c r="V157" s="97">
        <f>VLOOKUP(24,R134:S157,2,0)</f>
        <v>0</v>
      </c>
      <c r="W157" s="95" t="str">
        <f t="shared" si="55"/>
        <v/>
      </c>
      <c r="X157" s="95">
        <f>IF(F$25=0,IF(AND(G157=G209,NOT(G157=G183),NOT(G157=G235),LEN(W157)&gt;0),2,IF(LEN(W157)=0,0,1)),0)</f>
        <v>0</v>
      </c>
      <c r="Y157" s="95" t="str">
        <f t="shared" si="56"/>
        <v xml:space="preserve"> 0-0</v>
      </c>
      <c r="Z157" s="95" t="str">
        <f t="shared" si="57"/>
        <v xml:space="preserve"> 0-0</v>
      </c>
      <c r="AA157" s="95" t="str">
        <f t="shared" si="58"/>
        <v xml:space="preserve"> 0-0</v>
      </c>
      <c r="AB157" s="95" t="str">
        <f t="shared" si="59"/>
        <v xml:space="preserve"> 0-0</v>
      </c>
      <c r="AC157" s="95" t="str">
        <f>IF(AND(LEN(W157)&gt;0,F$25=0),IF(X157=2,W157&amp;" +2, ",W157&amp;", "),"")</f>
        <v/>
      </c>
    </row>
    <row r="159" spans="1:29">
      <c r="A159" s="95">
        <f>IF(LEN(VLOOKUP(B159,Doubles!$A$2:$D$17,4,0))&gt;0,VLOOKUP(B159,Doubles!$A$2:$D$17,4,0),"")</f>
        <v>4</v>
      </c>
      <c r="B159" s="96" t="str">
        <f>Doubles!H63</f>
        <v>hahaha7</v>
      </c>
      <c r="C159" s="96">
        <v>2</v>
      </c>
      <c r="D159" s="95" t="str">
        <f>VLOOKUP(B159,Doubles!$A$2:$E$17,5,0)</f>
        <v>CRO</v>
      </c>
      <c r="J159" s="95" t="s">
        <v>88</v>
      </c>
      <c r="Q159" s="95" t="s">
        <v>121</v>
      </c>
      <c r="S159" s="95" t="s">
        <v>122</v>
      </c>
      <c r="T159" s="95" t="str">
        <f>IF(LEN(A159)&gt;0,"("&amp;A159&amp;") "&amp;B159,B159)</f>
        <v>(4) hahaha7</v>
      </c>
      <c r="V159" s="95" t="s">
        <v>122</v>
      </c>
      <c r="Z159" s="95" t="s">
        <v>129</v>
      </c>
    </row>
    <row r="160" spans="1:29">
      <c r="A160" s="95">
        <v>1</v>
      </c>
      <c r="B160" s="95">
        <f>IF(Doubles!H64="",0,Doubles!H64)</f>
        <v>0</v>
      </c>
      <c r="C160" s="99" t="str">
        <f>IF(OR(LEFT(B160,LEN(B$2))=B$2,LEFT(B160,LEN(C$2))=C$2,LEN(B160)&lt;2),"",IF(B160="no pick","","Wrong pick"))</f>
        <v/>
      </c>
      <c r="E160" s="95">
        <f t="shared" ref="E160:E183" si="60">IF(AND($I$2=J160,B160=0),1,0)</f>
        <v>1</v>
      </c>
      <c r="F160" s="95" t="str">
        <f>IF(AND(SUM(E160:E183)=$I$4,NOT(B159="Bye")),"Missing picks from "&amp;B159&amp;" ","")</f>
        <v xml:space="preserve">Missing picks from hahaha7 </v>
      </c>
      <c r="G160" s="95" t="str">
        <f>IF(B160=0,"",IF(B160="no pick","No Pick",IF(LEFT(B160,LEN(B$2))=B$2,B$2,C$2)))</f>
        <v/>
      </c>
      <c r="H160" s="95" t="str">
        <f t="shared" ref="H160:H183" si="61">IF(L160="","",IF(K160="PTS",IF(LEN(O160)&lt;8,"2-0","2-1"),LEFT(O160,1)&amp;"-"&amp;RIGHT(O160,1)))</f>
        <v>0-0</v>
      </c>
      <c r="J160" s="97">
        <f>D$2</f>
        <v>1</v>
      </c>
      <c r="K160" s="95" t="str">
        <f t="shared" ref="K160:K183" si="62">IF(LEN(L160)&gt;0,IF(LEN(O160)&lt;4,"SR","PTS"),"")</f>
        <v>SR</v>
      </c>
      <c r="L160" s="95" t="str">
        <f t="shared" ref="L160:L183" si="63">TRIM(RIGHT(B160,LEN(B160)-LEN(G160)))</f>
        <v>0</v>
      </c>
      <c r="M160" s="95" t="str">
        <f t="shared" ref="M160:M183" si="64">SUBSTITUTE(L160,"-","")</f>
        <v>0</v>
      </c>
      <c r="N160" s="95" t="str">
        <f t="shared" ref="N160:N183" si="65">SUBSTITUTE(M160,","," ")</f>
        <v>0</v>
      </c>
      <c r="O160" s="95" t="str">
        <f t="shared" ref="O160:O183" si="66">IF(AND(LEN(TRIM(SUBSTITUTE(P160,"/","")))&gt;6,OR(LEFT(TRIM(SUBSTITUTE(P160,"/","")),2)="20",LEFT(TRIM(SUBSTITUTE(P160,"/","")),2)="21")),RIGHT(TRIM(SUBSTITUTE(P160,"/","")),LEN(TRIM(SUBSTITUTE(P160,"/","")))-3),TRIM(SUBSTITUTE(P160,"/","")))</f>
        <v>0</v>
      </c>
      <c r="P160" s="95" t="str">
        <f t="shared" ref="P160:P183" si="67">SUBSTITUTE(N160,":","")</f>
        <v>0</v>
      </c>
      <c r="Q160" s="95">
        <f>IF(AND(G160=T$2,LEN(G160)&gt;1),1,0)</f>
        <v>0</v>
      </c>
      <c r="R160" s="97">
        <f>Doubles!G$2</f>
        <v>1</v>
      </c>
      <c r="S160" s="95">
        <f>IF(AND(H160=H$2,LEN(H160)&gt;1,Q160=1),1,0)</f>
        <v>0</v>
      </c>
      <c r="V160" s="97">
        <f>VLOOKUP(1,R160:S183,2,0)</f>
        <v>0</v>
      </c>
      <c r="W160" s="95">
        <v>1</v>
      </c>
      <c r="Y160" s="95">
        <f>COUNTIF(X134:X157,"&gt;0")</f>
        <v>0</v>
      </c>
    </row>
    <row r="161" spans="1:23">
      <c r="A161" s="95">
        <v>2</v>
      </c>
      <c r="B161" s="95">
        <f>IF(Doubles!H65="",0,Doubles!H65)</f>
        <v>0</v>
      </c>
      <c r="C161" s="99" t="str">
        <f>IF(OR(LEFT(B161,LEN(B$3))=B$3,LEFT(B161,LEN(C$3))=C$3,LEN(B161)&lt;2),"",IF(B161="no pick","","Wrong pick"))</f>
        <v/>
      </c>
      <c r="E161" s="95">
        <f t="shared" si="60"/>
        <v>1</v>
      </c>
      <c r="G161" s="95" t="str">
        <f>IF(B161=0,"",IF(B161="no pick","No Pick",IF(LEFT(B161,LEN(B$3))=B$3,B$3,C$3)))</f>
        <v/>
      </c>
      <c r="H161" s="95" t="str">
        <f t="shared" si="61"/>
        <v>0-0</v>
      </c>
      <c r="J161" s="97">
        <f>D$3</f>
        <v>1</v>
      </c>
      <c r="K161" s="95" t="str">
        <f t="shared" si="62"/>
        <v>SR</v>
      </c>
      <c r="L161" s="95" t="str">
        <f t="shared" si="63"/>
        <v>0</v>
      </c>
      <c r="M161" s="95" t="str">
        <f t="shared" si="64"/>
        <v>0</v>
      </c>
      <c r="N161" s="95" t="str">
        <f t="shared" si="65"/>
        <v>0</v>
      </c>
      <c r="O161" s="95" t="str">
        <f t="shared" si="66"/>
        <v>0</v>
      </c>
      <c r="P161" s="95" t="str">
        <f t="shared" si="67"/>
        <v>0</v>
      </c>
      <c r="Q161" s="95">
        <f>IF(AND(G161=T$3,LEN(G161)&gt;1),1,0)</f>
        <v>0</v>
      </c>
      <c r="R161" s="97">
        <f>Doubles!G$3</f>
        <v>2</v>
      </c>
      <c r="S161" s="95">
        <f>IF(AND(H161=H$3,LEN(H161)&gt;1,Q161=1),1,0)</f>
        <v>0</v>
      </c>
      <c r="V161" s="97">
        <f>VLOOKUP(2,R160:S183,2,0)</f>
        <v>0</v>
      </c>
      <c r="W161" s="95">
        <v>2</v>
      </c>
    </row>
    <row r="162" spans="1:23">
      <c r="A162" s="95">
        <v>3</v>
      </c>
      <c r="B162" s="95">
        <f>IF(Doubles!H66="",0,Doubles!H66)</f>
        <v>0</v>
      </c>
      <c r="C162" s="99" t="str">
        <f>IF(OR(LEFT(B162,LEN(B$4))=B$4,LEFT(B162,LEN(C$4))=C$4,LEN(B162)&lt;2),"",IF(B162="no pick","","Wrong pick"))</f>
        <v/>
      </c>
      <c r="E162" s="95">
        <f t="shared" si="60"/>
        <v>1</v>
      </c>
      <c r="G162" s="95" t="str">
        <f>IF(B162=0,"",IF(B162="no pick","No Pick",IF(LEFT(B162,LEN(B$4))=B$4,B$4,C$4)))</f>
        <v/>
      </c>
      <c r="H162" s="95" t="str">
        <f t="shared" si="61"/>
        <v>0-0</v>
      </c>
      <c r="J162" s="97">
        <f>D$4</f>
        <v>1</v>
      </c>
      <c r="K162" s="95" t="str">
        <f t="shared" si="62"/>
        <v>SR</v>
      </c>
      <c r="L162" s="95" t="str">
        <f t="shared" si="63"/>
        <v>0</v>
      </c>
      <c r="M162" s="95" t="str">
        <f t="shared" si="64"/>
        <v>0</v>
      </c>
      <c r="N162" s="95" t="str">
        <f t="shared" si="65"/>
        <v>0</v>
      </c>
      <c r="O162" s="95" t="str">
        <f t="shared" si="66"/>
        <v>0</v>
      </c>
      <c r="P162" s="95" t="str">
        <f t="shared" si="67"/>
        <v>0</v>
      </c>
      <c r="Q162" s="95">
        <f>IF(AND(G162=T$4,LEN(G162)&gt;1),1,0)</f>
        <v>0</v>
      </c>
      <c r="R162" s="97">
        <f>Doubles!G$4</f>
        <v>3</v>
      </c>
      <c r="S162" s="95">
        <f>IF(AND(H162=H$4,LEN(H162)&gt;1,Q162=1),1,0)</f>
        <v>0</v>
      </c>
      <c r="V162" s="97">
        <f>VLOOKUP(3,R160:S183,2,0)</f>
        <v>0</v>
      </c>
      <c r="W162" s="95">
        <v>3</v>
      </c>
    </row>
    <row r="163" spans="1:23">
      <c r="A163" s="95">
        <v>4</v>
      </c>
      <c r="B163" s="95">
        <f>IF(Doubles!H67="",0,Doubles!H67)</f>
        <v>0</v>
      </c>
      <c r="C163" s="99" t="str">
        <f>IF(OR(LEFT(B163,LEN(B$5))=B$5,LEFT(B163,LEN(C$5))=C$5,LEN(B163)&lt;2),"",IF(B163="no pick","","Wrong pick"))</f>
        <v/>
      </c>
      <c r="E163" s="95">
        <f t="shared" si="60"/>
        <v>1</v>
      </c>
      <c r="G163" s="95" t="str">
        <f>IF(B163=0,"",IF(B163="no pick","No Pick",IF(LEFT(B163,LEN(B$5))=B$5,B$5,C$5)))</f>
        <v/>
      </c>
      <c r="H163" s="95" t="str">
        <f t="shared" si="61"/>
        <v>0-0</v>
      </c>
      <c r="J163" s="97">
        <f>D$5</f>
        <v>1</v>
      </c>
      <c r="K163" s="95" t="str">
        <f t="shared" si="62"/>
        <v>SR</v>
      </c>
      <c r="L163" s="95" t="str">
        <f t="shared" si="63"/>
        <v>0</v>
      </c>
      <c r="M163" s="95" t="str">
        <f t="shared" si="64"/>
        <v>0</v>
      </c>
      <c r="N163" s="95" t="str">
        <f t="shared" si="65"/>
        <v>0</v>
      </c>
      <c r="O163" s="95" t="str">
        <f t="shared" si="66"/>
        <v>0</v>
      </c>
      <c r="P163" s="95" t="str">
        <f t="shared" si="67"/>
        <v>0</v>
      </c>
      <c r="Q163" s="95">
        <f>IF(AND(G163=T$5,LEN(G163)&gt;1),1,0)</f>
        <v>0</v>
      </c>
      <c r="R163" s="97">
        <f>Doubles!G$5</f>
        <v>4</v>
      </c>
      <c r="S163" s="95">
        <f>IF(AND(H163=H$5,LEN(H163)&gt;1,Q163=1),1,0)</f>
        <v>0</v>
      </c>
      <c r="V163" s="97">
        <f>VLOOKUP(4,R160:S183,2,0)</f>
        <v>0</v>
      </c>
      <c r="W163" s="95">
        <v>4</v>
      </c>
    </row>
    <row r="164" spans="1:23">
      <c r="A164" s="95">
        <v>5</v>
      </c>
      <c r="B164" s="95">
        <f>IF(Doubles!H68="",0,Doubles!H68)</f>
        <v>0</v>
      </c>
      <c r="C164" s="99" t="str">
        <f>IF(OR(LEFT(B164,LEN(B$6))=B$6,LEFT(B164,LEN(C$6))=C$6,LEN(B164)&lt;2),"",IF(B164="no pick","","Wrong pick"))</f>
        <v/>
      </c>
      <c r="E164" s="95">
        <f t="shared" si="60"/>
        <v>1</v>
      </c>
      <c r="G164" s="95" t="str">
        <f>IF(B164=0,"",IF(B164="no pick","No Pick",IF(LEFT(B164,LEN(B$6))=B$6,B$6,C$6)))</f>
        <v/>
      </c>
      <c r="H164" s="95" t="str">
        <f t="shared" si="61"/>
        <v>0-0</v>
      </c>
      <c r="J164" s="97">
        <f>D$6</f>
        <v>1</v>
      </c>
      <c r="K164" s="95" t="str">
        <f t="shared" si="62"/>
        <v>SR</v>
      </c>
      <c r="L164" s="95" t="str">
        <f t="shared" si="63"/>
        <v>0</v>
      </c>
      <c r="M164" s="95" t="str">
        <f t="shared" si="64"/>
        <v>0</v>
      </c>
      <c r="N164" s="95" t="str">
        <f t="shared" si="65"/>
        <v>0</v>
      </c>
      <c r="O164" s="95" t="str">
        <f t="shared" si="66"/>
        <v>0</v>
      </c>
      <c r="P164" s="95" t="str">
        <f t="shared" si="67"/>
        <v>0</v>
      </c>
      <c r="Q164" s="95">
        <f>IF(AND(G164=T$6,LEN(G164)&gt;1),1,0)</f>
        <v>0</v>
      </c>
      <c r="R164" s="97">
        <f>Doubles!G$6</f>
        <v>5</v>
      </c>
      <c r="S164" s="95">
        <f>IF(AND(H164=H$6,LEN(H164)&gt;1,Q164=1),1,0)</f>
        <v>0</v>
      </c>
      <c r="V164" s="97">
        <f>VLOOKUP(5,R160:S183,2,0)</f>
        <v>0</v>
      </c>
      <c r="W164" s="95">
        <v>5</v>
      </c>
    </row>
    <row r="165" spans="1:23">
      <c r="A165" s="95">
        <v>6</v>
      </c>
      <c r="B165" s="95">
        <f>IF(Doubles!H69="",0,Doubles!H69)</f>
        <v>0</v>
      </c>
      <c r="C165" s="99" t="str">
        <f>IF(OR(LEFT(B165,LEN(B$7))=B$7,LEFT(B165,LEN(C$7))=C$7,LEN(B165)&lt;2),"",IF(B165="no pick","","Wrong pick"))</f>
        <v/>
      </c>
      <c r="E165" s="95">
        <f t="shared" si="60"/>
        <v>1</v>
      </c>
      <c r="G165" s="95" t="str">
        <f>IF(B165=0,"",IF(B165="no pick","No Pick",IF(LEFT(B165,LEN(B$7))=B$7,B$7,C$7)))</f>
        <v/>
      </c>
      <c r="H165" s="95" t="str">
        <f t="shared" si="61"/>
        <v>0-0</v>
      </c>
      <c r="J165" s="97">
        <f>D$7</f>
        <v>1</v>
      </c>
      <c r="K165" s="95" t="str">
        <f t="shared" si="62"/>
        <v>SR</v>
      </c>
      <c r="L165" s="95" t="str">
        <f t="shared" si="63"/>
        <v>0</v>
      </c>
      <c r="M165" s="95" t="str">
        <f t="shared" si="64"/>
        <v>0</v>
      </c>
      <c r="N165" s="95" t="str">
        <f t="shared" si="65"/>
        <v>0</v>
      </c>
      <c r="O165" s="95" t="str">
        <f t="shared" si="66"/>
        <v>0</v>
      </c>
      <c r="P165" s="95" t="str">
        <f t="shared" si="67"/>
        <v>0</v>
      </c>
      <c r="Q165" s="95">
        <f>IF(AND(G165=T$7,LEN(G165)&gt;1),1,0)</f>
        <v>0</v>
      </c>
      <c r="R165" s="97">
        <f>Doubles!G$7</f>
        <v>6</v>
      </c>
      <c r="S165" s="95">
        <f>IF(AND(H165=H$7,LEN(H165)&gt;1,Q165=1),1,0)</f>
        <v>0</v>
      </c>
      <c r="V165" s="97">
        <f>VLOOKUP(6,R160:S183,2,0)</f>
        <v>0</v>
      </c>
      <c r="W165" s="95">
        <v>6</v>
      </c>
    </row>
    <row r="166" spans="1:23">
      <c r="A166" s="95">
        <v>7</v>
      </c>
      <c r="B166" s="95">
        <f>IF(Doubles!H70="",0,Doubles!H70)</f>
        <v>0</v>
      </c>
      <c r="C166" s="99" t="str">
        <f>IF(OR(LEFT(B166,LEN(B$8))=B$8,LEFT(B166,LEN(C$8))=C$8,LEN(B166)&lt;2),"",IF(B166="no pick","","Wrong pick"))</f>
        <v/>
      </c>
      <c r="E166" s="95">
        <f t="shared" si="60"/>
        <v>1</v>
      </c>
      <c r="G166" s="95" t="str">
        <f>IF(B166=0,"",IF(B166="no pick","No Pick",IF(LEFT(B166,LEN(B$8))=B$8,B$8,C$8)))</f>
        <v/>
      </c>
      <c r="H166" s="95" t="str">
        <f t="shared" si="61"/>
        <v>0-0</v>
      </c>
      <c r="J166" s="97">
        <f>D$8</f>
        <v>1</v>
      </c>
      <c r="K166" s="95" t="str">
        <f t="shared" si="62"/>
        <v>SR</v>
      </c>
      <c r="L166" s="95" t="str">
        <f t="shared" si="63"/>
        <v>0</v>
      </c>
      <c r="M166" s="95" t="str">
        <f t="shared" si="64"/>
        <v>0</v>
      </c>
      <c r="N166" s="95" t="str">
        <f t="shared" si="65"/>
        <v>0</v>
      </c>
      <c r="O166" s="95" t="str">
        <f t="shared" si="66"/>
        <v>0</v>
      </c>
      <c r="P166" s="95" t="str">
        <f t="shared" si="67"/>
        <v>0</v>
      </c>
      <c r="Q166" s="95">
        <f>IF(AND(G166=T$8,LEN(G166)&gt;1),1,0)</f>
        <v>0</v>
      </c>
      <c r="R166" s="97">
        <f>Doubles!G$8</f>
        <v>7</v>
      </c>
      <c r="S166" s="95">
        <f>IF(AND(H166=H$8,LEN(H166)&gt;1,Q166=1),1,0)</f>
        <v>0</v>
      </c>
      <c r="V166" s="97">
        <f>VLOOKUP(7,R160:S183,2,0)</f>
        <v>0</v>
      </c>
      <c r="W166" s="95">
        <v>7</v>
      </c>
    </row>
    <row r="167" spans="1:23">
      <c r="A167" s="95">
        <v>8</v>
      </c>
      <c r="B167" s="95">
        <f>IF(Doubles!H71="",0,Doubles!H71)</f>
        <v>0</v>
      </c>
      <c r="C167" s="99" t="str">
        <f>IF(OR(LEFT(B167,LEN(B$9))=B$9,LEFT(B167,LEN(C$9))=C$9,LEN(B167)&lt;2),"",IF(B167="no pick","","Wrong pick"))</f>
        <v/>
      </c>
      <c r="E167" s="95">
        <f t="shared" si="60"/>
        <v>1</v>
      </c>
      <c r="G167" s="95" t="str">
        <f>IF(B167=0,"",IF(B167="no pick","No Pick",IF(LEFT(B167,LEN(B$9))=B$9,B$9,C$9)))</f>
        <v/>
      </c>
      <c r="H167" s="95" t="str">
        <f t="shared" si="61"/>
        <v>0-0</v>
      </c>
      <c r="J167" s="97">
        <f>D$9</f>
        <v>1</v>
      </c>
      <c r="K167" s="95" t="str">
        <f t="shared" si="62"/>
        <v>SR</v>
      </c>
      <c r="L167" s="95" t="str">
        <f t="shared" si="63"/>
        <v>0</v>
      </c>
      <c r="M167" s="95" t="str">
        <f t="shared" si="64"/>
        <v>0</v>
      </c>
      <c r="N167" s="95" t="str">
        <f t="shared" si="65"/>
        <v>0</v>
      </c>
      <c r="O167" s="95" t="str">
        <f t="shared" si="66"/>
        <v>0</v>
      </c>
      <c r="P167" s="95" t="str">
        <f t="shared" si="67"/>
        <v>0</v>
      </c>
      <c r="Q167" s="95">
        <f>IF(AND(G167=T$9,LEN(G167)&gt;1),1,0)</f>
        <v>0</v>
      </c>
      <c r="R167" s="97">
        <f>Doubles!G$9</f>
        <v>8</v>
      </c>
      <c r="S167" s="95">
        <f>IF(AND(H167=H$9,LEN(H167)&gt;1,Q167=1),1,0)</f>
        <v>0</v>
      </c>
      <c r="V167" s="97">
        <f>VLOOKUP(8,R160:S183,2,0)</f>
        <v>0</v>
      </c>
      <c r="W167" s="95">
        <v>8</v>
      </c>
    </row>
    <row r="168" spans="1:23">
      <c r="A168" s="95">
        <v>9</v>
      </c>
      <c r="B168" s="95">
        <f>IF(Doubles!H72="",0,Doubles!H72)</f>
        <v>0</v>
      </c>
      <c r="C168" s="99" t="str">
        <f>IF(OR(LEFT(B168,LEN(B$10))=B$10,LEFT(B168,LEN(C$10))=C$10,LEN(B168)&lt;2),"",IF(B168="no pick","","Wrong pick"))</f>
        <v/>
      </c>
      <c r="E168" s="95">
        <f t="shared" si="60"/>
        <v>1</v>
      </c>
      <c r="G168" s="95" t="str">
        <f>IF(B168=0,"",IF(B168="no pick","No Pick",IF(LEFT(B168,LEN(B$10))=B$10,B$10,C$10)))</f>
        <v/>
      </c>
      <c r="H168" s="95" t="str">
        <f t="shared" si="61"/>
        <v>0-0</v>
      </c>
      <c r="J168" s="97">
        <f>D$10</f>
        <v>1</v>
      </c>
      <c r="K168" s="95" t="str">
        <f t="shared" si="62"/>
        <v>SR</v>
      </c>
      <c r="L168" s="95" t="str">
        <f t="shared" si="63"/>
        <v>0</v>
      </c>
      <c r="M168" s="95" t="str">
        <f t="shared" si="64"/>
        <v>0</v>
      </c>
      <c r="N168" s="95" t="str">
        <f t="shared" si="65"/>
        <v>0</v>
      </c>
      <c r="O168" s="95" t="str">
        <f t="shared" si="66"/>
        <v>0</v>
      </c>
      <c r="P168" s="95" t="str">
        <f t="shared" si="67"/>
        <v>0</v>
      </c>
      <c r="Q168" s="95">
        <f>IF(AND(G168=T$10,LEN(G168)&gt;1),1,0)</f>
        <v>0</v>
      </c>
      <c r="R168" s="97">
        <f>Doubles!G$10</f>
        <v>9</v>
      </c>
      <c r="S168" s="95">
        <f>IF(AND(H168=H$10,LEN(H168)&gt;1,Q168=1),1,0)</f>
        <v>0</v>
      </c>
      <c r="V168" s="97">
        <f>VLOOKUP(9,R160:S183,2,0)</f>
        <v>0</v>
      </c>
      <c r="W168" s="95">
        <v>9</v>
      </c>
    </row>
    <row r="169" spans="1:23">
      <c r="A169" s="95">
        <v>10</v>
      </c>
      <c r="B169" s="95">
        <f>IF(Doubles!H73="",0,Doubles!H73)</f>
        <v>0</v>
      </c>
      <c r="C169" s="99" t="str">
        <f>IF(OR(LEFT(B169,LEN(B$11))=B$11,LEFT(B169,LEN(C$11))=C$11,LEN(B169)&lt;2),"",IF(B169="no pick","","Wrong pick"))</f>
        <v/>
      </c>
      <c r="E169" s="95">
        <f t="shared" si="60"/>
        <v>1</v>
      </c>
      <c r="G169" s="95" t="str">
        <f>IF(B169=0,"",IF(B169="no pick","No Pick",IF(LEFT(B169,LEN(B$11))=B$11,B$11,C$11)))</f>
        <v/>
      </c>
      <c r="H169" s="95" t="str">
        <f t="shared" si="61"/>
        <v>0-0</v>
      </c>
      <c r="J169" s="97">
        <f>D$11</f>
        <v>1</v>
      </c>
      <c r="K169" s="95" t="str">
        <f t="shared" si="62"/>
        <v>SR</v>
      </c>
      <c r="L169" s="95" t="str">
        <f t="shared" si="63"/>
        <v>0</v>
      </c>
      <c r="M169" s="95" t="str">
        <f t="shared" si="64"/>
        <v>0</v>
      </c>
      <c r="N169" s="95" t="str">
        <f t="shared" si="65"/>
        <v>0</v>
      </c>
      <c r="O169" s="95" t="str">
        <f t="shared" si="66"/>
        <v>0</v>
      </c>
      <c r="P169" s="95" t="str">
        <f t="shared" si="67"/>
        <v>0</v>
      </c>
      <c r="Q169" s="95">
        <f>IF(AND(G169=T$11,LEN(G169)&gt;1),1,0)</f>
        <v>0</v>
      </c>
      <c r="R169" s="97">
        <f>Doubles!G$11</f>
        <v>10</v>
      </c>
      <c r="S169" s="95">
        <f>IF(AND(H169=H$11,LEN(H169)&gt;1,Q169=1),1,0)</f>
        <v>0</v>
      </c>
      <c r="V169" s="97">
        <f>VLOOKUP(10,R160:S183,2,0)</f>
        <v>0</v>
      </c>
      <c r="W169" s="95">
        <v>10</v>
      </c>
    </row>
    <row r="170" spans="1:23">
      <c r="A170" s="95">
        <v>11</v>
      </c>
      <c r="B170" s="95">
        <f>IF(Doubles!H74="",0,Doubles!H74)</f>
        <v>0</v>
      </c>
      <c r="C170" s="99" t="str">
        <f>IF(OR(LEFT(B170,LEN(B$12))=B$12,LEFT(B170,LEN(C$12))=C$12,LEN(B170)&lt;2),"",IF(B170="no pick","","Wrong pick"))</f>
        <v/>
      </c>
      <c r="E170" s="95">
        <f t="shared" si="60"/>
        <v>1</v>
      </c>
      <c r="G170" s="95" t="str">
        <f>IF(B170=0,"",IF(B170="no pick","No Pick",IF(LEFT(B170,LEN(B$12))=B$12,B$12,C$12)))</f>
        <v/>
      </c>
      <c r="H170" s="95" t="str">
        <f t="shared" si="61"/>
        <v>0-0</v>
      </c>
      <c r="J170" s="97">
        <f>D$12</f>
        <v>1</v>
      </c>
      <c r="K170" s="95" t="str">
        <f t="shared" si="62"/>
        <v>SR</v>
      </c>
      <c r="L170" s="95" t="str">
        <f t="shared" si="63"/>
        <v>0</v>
      </c>
      <c r="M170" s="95" t="str">
        <f t="shared" si="64"/>
        <v>0</v>
      </c>
      <c r="N170" s="95" t="str">
        <f t="shared" si="65"/>
        <v>0</v>
      </c>
      <c r="O170" s="95" t="str">
        <f t="shared" si="66"/>
        <v>0</v>
      </c>
      <c r="P170" s="95" t="str">
        <f t="shared" si="67"/>
        <v>0</v>
      </c>
      <c r="Q170" s="95">
        <f>IF(AND(G170=T$12,LEN(G170)&gt;1),1,0)</f>
        <v>0</v>
      </c>
      <c r="R170" s="97">
        <f>Doubles!G$12</f>
        <v>11</v>
      </c>
      <c r="S170" s="95">
        <f>IF(AND(H170=H$12,LEN(H170)&gt;1,Q170=1),1,0)</f>
        <v>0</v>
      </c>
      <c r="V170" s="97">
        <f>VLOOKUP(11,R160:S183,2,0)</f>
        <v>0</v>
      </c>
      <c r="W170" s="95">
        <v>11</v>
      </c>
    </row>
    <row r="171" spans="1:23">
      <c r="A171" s="95">
        <v>12</v>
      </c>
      <c r="B171" s="95">
        <f>IF(Doubles!H75="",0,Doubles!H75)</f>
        <v>0</v>
      </c>
      <c r="C171" s="99" t="str">
        <f>IF(OR(LEFT(B171,LEN(B$13))=B$13,LEFT(B171,LEN(C$13))=C$13,LEN(B171)&lt;2),"",IF(B171="no pick","","Wrong pick"))</f>
        <v/>
      </c>
      <c r="E171" s="95">
        <f t="shared" si="60"/>
        <v>1</v>
      </c>
      <c r="G171" s="95" t="str">
        <f>IF(B171=0,"",IF(B171="no pick","No Pick",IF(LEFT(B171,LEN(B$13))=B$13,B$13,C$13)))</f>
        <v/>
      </c>
      <c r="H171" s="95" t="str">
        <f t="shared" si="61"/>
        <v>0-0</v>
      </c>
      <c r="J171" s="97">
        <f>D$13</f>
        <v>1</v>
      </c>
      <c r="K171" s="95" t="str">
        <f t="shared" si="62"/>
        <v>SR</v>
      </c>
      <c r="L171" s="95" t="str">
        <f t="shared" si="63"/>
        <v>0</v>
      </c>
      <c r="M171" s="95" t="str">
        <f t="shared" si="64"/>
        <v>0</v>
      </c>
      <c r="N171" s="95" t="str">
        <f t="shared" si="65"/>
        <v>0</v>
      </c>
      <c r="O171" s="95" t="str">
        <f t="shared" si="66"/>
        <v>0</v>
      </c>
      <c r="P171" s="95" t="str">
        <f t="shared" si="67"/>
        <v>0</v>
      </c>
      <c r="Q171" s="95">
        <f>IF(AND(G171=T$13,LEN(G171)&gt;1),1,0)</f>
        <v>0</v>
      </c>
      <c r="R171" s="97">
        <f>Doubles!G$13</f>
        <v>12</v>
      </c>
      <c r="S171" s="95">
        <f>IF(AND(H171=H$13,LEN(H171)&gt;1,Q171=1),1,0)</f>
        <v>0</v>
      </c>
      <c r="V171" s="97">
        <f>VLOOKUP(12,R160:S183,2,0)</f>
        <v>0</v>
      </c>
      <c r="W171" s="95">
        <v>12</v>
      </c>
    </row>
    <row r="172" spans="1:23">
      <c r="A172" s="95">
        <v>13</v>
      </c>
      <c r="B172" s="95">
        <f>IF(Doubles!H76="",0,Doubles!H76)</f>
        <v>0</v>
      </c>
      <c r="C172" s="99" t="str">
        <f>IF(OR(LEFT(B172,LEN(B$14))=B$14,LEFT(B172,LEN(C$14))=C$14,LEN(B172)&lt;2),"",IF(B172="no pick","","Wrong pick"))</f>
        <v/>
      </c>
      <c r="E172" s="95">
        <f t="shared" si="60"/>
        <v>1</v>
      </c>
      <c r="G172" s="95" t="str">
        <f>IF(B172=0,"",IF(B172="no pick","No Pick",IF(LEFT(B172,LEN(B$14))=B$14,B$14,C$14)))</f>
        <v/>
      </c>
      <c r="H172" s="95" t="str">
        <f t="shared" si="61"/>
        <v>0-0</v>
      </c>
      <c r="J172" s="97">
        <f>D$14</f>
        <v>1</v>
      </c>
      <c r="K172" s="95" t="str">
        <f t="shared" si="62"/>
        <v>SR</v>
      </c>
      <c r="L172" s="95" t="str">
        <f t="shared" si="63"/>
        <v>0</v>
      </c>
      <c r="M172" s="95" t="str">
        <f t="shared" si="64"/>
        <v>0</v>
      </c>
      <c r="N172" s="95" t="str">
        <f t="shared" si="65"/>
        <v>0</v>
      </c>
      <c r="O172" s="95" t="str">
        <f t="shared" si="66"/>
        <v>0</v>
      </c>
      <c r="P172" s="95" t="str">
        <f t="shared" si="67"/>
        <v>0</v>
      </c>
      <c r="Q172" s="95">
        <f>IF(AND(G172=T$14,LEN(G172)&gt;1),1,0)</f>
        <v>0</v>
      </c>
      <c r="R172" s="97">
        <f>Doubles!G$14</f>
        <v>13</v>
      </c>
      <c r="S172" s="95">
        <f>IF(AND(H172=H$14,LEN(H172)&gt;1,Q172=1),1,0)</f>
        <v>0</v>
      </c>
      <c r="V172" s="97">
        <f>VLOOKUP(13,R160:S183,2,0)</f>
        <v>0</v>
      </c>
      <c r="W172" s="95">
        <v>13</v>
      </c>
    </row>
    <row r="173" spans="1:23">
      <c r="A173" s="95">
        <v>14</v>
      </c>
      <c r="B173" s="95">
        <f>IF(Doubles!H77="",0,Doubles!H77)</f>
        <v>0</v>
      </c>
      <c r="C173" s="99" t="str">
        <f>IF(OR(LEFT(B173,LEN(B$15))=B$15,LEFT(B173,LEN(C$15))=C$15,LEN(B173)&lt;2),"",IF(B173="no pick","","Wrong pick"))</f>
        <v/>
      </c>
      <c r="E173" s="95">
        <f t="shared" si="60"/>
        <v>1</v>
      </c>
      <c r="G173" s="95" t="str">
        <f>IF(B173=0,"",IF(B173="no pick","No Pick",IF(LEFT(B173,LEN(B$15))=B$15,B$15,C$15)))</f>
        <v/>
      </c>
      <c r="H173" s="95" t="str">
        <f t="shared" si="61"/>
        <v>0-0</v>
      </c>
      <c r="J173" s="97">
        <f>D$15</f>
        <v>1</v>
      </c>
      <c r="K173" s="95" t="str">
        <f t="shared" si="62"/>
        <v>SR</v>
      </c>
      <c r="L173" s="95" t="str">
        <f t="shared" si="63"/>
        <v>0</v>
      </c>
      <c r="M173" s="95" t="str">
        <f t="shared" si="64"/>
        <v>0</v>
      </c>
      <c r="N173" s="95" t="str">
        <f t="shared" si="65"/>
        <v>0</v>
      </c>
      <c r="O173" s="95" t="str">
        <f t="shared" si="66"/>
        <v>0</v>
      </c>
      <c r="P173" s="95" t="str">
        <f t="shared" si="67"/>
        <v>0</v>
      </c>
      <c r="Q173" s="95">
        <f>IF(AND(G173=T$15,LEN(G173)&gt;1),1,0)</f>
        <v>0</v>
      </c>
      <c r="R173" s="97">
        <f>Doubles!G$15</f>
        <v>14</v>
      </c>
      <c r="S173" s="95">
        <f>IF(AND(H173=H$15,LEN(H173)&gt;1,Q173=1),1,0)</f>
        <v>0</v>
      </c>
      <c r="V173" s="97">
        <f>VLOOKUP(14,R160:S183,2,0)</f>
        <v>0</v>
      </c>
      <c r="W173" s="95">
        <v>14</v>
      </c>
    </row>
    <row r="174" spans="1:23">
      <c r="A174" s="95">
        <v>15</v>
      </c>
      <c r="B174" s="95">
        <f>IF(Doubles!H78="",0,Doubles!H78)</f>
        <v>0</v>
      </c>
      <c r="C174" s="99" t="str">
        <f>IF(OR(LEFT(B174,LEN(B$16))=B$16,LEFT(B174,LEN(C$16))=C$16,LEN(B174)&lt;2),"",IF(B174="no pick","","Wrong pick"))</f>
        <v/>
      </c>
      <c r="E174" s="95">
        <f t="shared" si="60"/>
        <v>1</v>
      </c>
      <c r="G174" s="95" t="str">
        <f>IF(B174=0,"",IF(B174="no pick","No Pick",IF(LEFT(B174,LEN(B$16))=B$16,B$16,C$16)))</f>
        <v/>
      </c>
      <c r="H174" s="95" t="str">
        <f t="shared" si="61"/>
        <v>0-0</v>
      </c>
      <c r="J174" s="97">
        <f>D$16</f>
        <v>1</v>
      </c>
      <c r="K174" s="95" t="str">
        <f t="shared" si="62"/>
        <v>SR</v>
      </c>
      <c r="L174" s="95" t="str">
        <f t="shared" si="63"/>
        <v>0</v>
      </c>
      <c r="M174" s="95" t="str">
        <f t="shared" si="64"/>
        <v>0</v>
      </c>
      <c r="N174" s="95" t="str">
        <f t="shared" si="65"/>
        <v>0</v>
      </c>
      <c r="O174" s="95" t="str">
        <f t="shared" si="66"/>
        <v>0</v>
      </c>
      <c r="P174" s="95" t="str">
        <f t="shared" si="67"/>
        <v>0</v>
      </c>
      <c r="Q174" s="95">
        <f>IF(AND(G174=T$16,LEN(G174)&gt;1),1,0)</f>
        <v>0</v>
      </c>
      <c r="R174" s="97">
        <f>Doubles!G$16</f>
        <v>15</v>
      </c>
      <c r="S174" s="95">
        <f>IF(AND(H174=H$16,LEN(H174)&gt;1,Q174=1),1,0)</f>
        <v>0</v>
      </c>
      <c r="V174" s="97">
        <f>VLOOKUP(15,R160:S183,2,0)</f>
        <v>0</v>
      </c>
      <c r="W174" s="95">
        <v>15</v>
      </c>
    </row>
    <row r="175" spans="1:23">
      <c r="A175" s="95">
        <v>16</v>
      </c>
      <c r="B175" s="95">
        <f>IF(Doubles!H79="",0,Doubles!H79)</f>
        <v>0</v>
      </c>
      <c r="C175" s="99" t="str">
        <f>IF(OR(LEFT(B175,LEN(B$17))=B$17,LEFT(B175,LEN(C$17))=C$17,LEN(B175)&lt;2),"",IF(B175="no pick","","Wrong pick"))</f>
        <v/>
      </c>
      <c r="E175" s="95">
        <f t="shared" si="60"/>
        <v>1</v>
      </c>
      <c r="G175" s="95" t="str">
        <f>IF(B175=0,"",IF(B175="no pick","No Pick",IF(LEFT(B175,LEN(B$17))=B$17,B$17,C$17)))</f>
        <v/>
      </c>
      <c r="H175" s="95" t="str">
        <f t="shared" si="61"/>
        <v>0-0</v>
      </c>
      <c r="J175" s="97">
        <f>D$17</f>
        <v>1</v>
      </c>
      <c r="K175" s="95" t="str">
        <f t="shared" si="62"/>
        <v>SR</v>
      </c>
      <c r="L175" s="95" t="str">
        <f t="shared" si="63"/>
        <v>0</v>
      </c>
      <c r="M175" s="95" t="str">
        <f t="shared" si="64"/>
        <v>0</v>
      </c>
      <c r="N175" s="95" t="str">
        <f t="shared" si="65"/>
        <v>0</v>
      </c>
      <c r="O175" s="95" t="str">
        <f t="shared" si="66"/>
        <v>0</v>
      </c>
      <c r="P175" s="95" t="str">
        <f t="shared" si="67"/>
        <v>0</v>
      </c>
      <c r="Q175" s="95">
        <f>IF(AND(G175=T$17,LEN(G175)&gt;1),1,0)</f>
        <v>0</v>
      </c>
      <c r="R175" s="97">
        <f>Doubles!G$17</f>
        <v>16</v>
      </c>
      <c r="S175" s="95">
        <f>IF(AND(H175=H$17,LEN(H175)&gt;1,Q175=1),1,0)</f>
        <v>0</v>
      </c>
      <c r="V175" s="97">
        <f>VLOOKUP(16,R160:S183,2,0)</f>
        <v>0</v>
      </c>
      <c r="W175" s="95">
        <v>16</v>
      </c>
    </row>
    <row r="176" spans="1:23">
      <c r="A176" s="95">
        <v>17</v>
      </c>
      <c r="B176" s="95">
        <f>IF(Doubles!H80="",0,Doubles!H80)</f>
        <v>0</v>
      </c>
      <c r="C176" s="99" t="str">
        <f>IF(OR(LEFT(B176,LEN(B$18))=B$18,LEFT(B176,LEN(C$18))=C$18,LEN(B176)&lt;2),"",IF(B176="no pick","","Wrong pick"))</f>
        <v/>
      </c>
      <c r="E176" s="95">
        <f t="shared" si="60"/>
        <v>0</v>
      </c>
      <c r="G176" s="95" t="str">
        <f>IF(B176=0,"",IF(B176="no pick","No Pick",IF(LEFT(B176,LEN(B$18))=B$18,B$18,C$18)))</f>
        <v/>
      </c>
      <c r="H176" s="95" t="str">
        <f t="shared" si="61"/>
        <v>0-0</v>
      </c>
      <c r="J176" s="95">
        <f>D$18</f>
        <v>0</v>
      </c>
      <c r="K176" s="95" t="str">
        <f t="shared" si="62"/>
        <v>SR</v>
      </c>
      <c r="L176" s="95" t="str">
        <f t="shared" si="63"/>
        <v>0</v>
      </c>
      <c r="M176" s="95" t="str">
        <f t="shared" si="64"/>
        <v>0</v>
      </c>
      <c r="N176" s="95" t="str">
        <f t="shared" si="65"/>
        <v>0</v>
      </c>
      <c r="O176" s="95" t="str">
        <f t="shared" si="66"/>
        <v>0</v>
      </c>
      <c r="P176" s="95" t="str">
        <f t="shared" si="67"/>
        <v>0</v>
      </c>
      <c r="Q176" s="95">
        <f>IF(AND(G176=T$18,LEN(G176)&gt;1),1,0)</f>
        <v>0</v>
      </c>
      <c r="R176" s="97">
        <f>Doubles!G$18</f>
        <v>17</v>
      </c>
      <c r="S176" s="95">
        <f>IF(AND(H176=H$18,LEN(H176)&gt;1,Q176=1),1,0)</f>
        <v>0</v>
      </c>
      <c r="V176" s="97">
        <f>VLOOKUP(17,R160:S183,2,0)</f>
        <v>0</v>
      </c>
      <c r="W176" s="95">
        <v>17</v>
      </c>
    </row>
    <row r="177" spans="1:29">
      <c r="A177" s="95">
        <v>18</v>
      </c>
      <c r="B177" s="95">
        <f>IF(Doubles!H81="",0,Doubles!H81)</f>
        <v>0</v>
      </c>
      <c r="C177" s="99" t="str">
        <f>IF(OR(LEFT(B177,LEN(B$19))=B$19,LEFT(B177,LEN(C$19))=C$19,LEN(B177)&lt;2),"",IF(B177="no pick","","Wrong pick"))</f>
        <v/>
      </c>
      <c r="E177" s="95">
        <f t="shared" si="60"/>
        <v>0</v>
      </c>
      <c r="G177" s="95" t="str">
        <f>IF(B177=0,"",IF(B177="no pick","No Pick",IF(LEFT(B177,LEN(B$19))=B$19,B$19,C$19)))</f>
        <v/>
      </c>
      <c r="H177" s="95" t="str">
        <f t="shared" si="61"/>
        <v>0-0</v>
      </c>
      <c r="J177" s="95">
        <f>D$19</f>
        <v>0</v>
      </c>
      <c r="K177" s="95" t="str">
        <f t="shared" si="62"/>
        <v>SR</v>
      </c>
      <c r="L177" s="95" t="str">
        <f t="shared" si="63"/>
        <v>0</v>
      </c>
      <c r="M177" s="95" t="str">
        <f t="shared" si="64"/>
        <v>0</v>
      </c>
      <c r="N177" s="95" t="str">
        <f t="shared" si="65"/>
        <v>0</v>
      </c>
      <c r="O177" s="95" t="str">
        <f t="shared" si="66"/>
        <v>0</v>
      </c>
      <c r="P177" s="95" t="str">
        <f t="shared" si="67"/>
        <v>0</v>
      </c>
      <c r="Q177" s="95">
        <f>IF(AND(G177=T$19,LEN(G177)&gt;1),1,0)</f>
        <v>0</v>
      </c>
      <c r="R177" s="97">
        <f>Doubles!G$19</f>
        <v>18</v>
      </c>
      <c r="S177" s="95">
        <f>IF(AND(H177=H$19,LEN(H177)&gt;1,Q177=1),1,0)</f>
        <v>0</v>
      </c>
      <c r="V177" s="97">
        <f>VLOOKUP(18,R160:S183,2,0)</f>
        <v>0</v>
      </c>
      <c r="W177" s="95">
        <v>18</v>
      </c>
    </row>
    <row r="178" spans="1:29">
      <c r="A178" s="95">
        <v>19</v>
      </c>
      <c r="B178" s="95">
        <f>IF(Doubles!H82="",0,Doubles!H82)</f>
        <v>0</v>
      </c>
      <c r="C178" s="99" t="str">
        <f>IF(OR(LEFT(B178,LEN(B$20))=B$20,LEFT(B178,LEN(C$20))=C$20,LEN(B178)&lt;2),"",IF(B178="no pick","","Wrong pick"))</f>
        <v/>
      </c>
      <c r="E178" s="95">
        <f t="shared" si="60"/>
        <v>0</v>
      </c>
      <c r="G178" s="95" t="str">
        <f>IF(B178=0,"",IF(B178="no pick","No Pick",IF(LEFT(B178,LEN(B$20))=B$20,B$20,C$20)))</f>
        <v/>
      </c>
      <c r="H178" s="95" t="str">
        <f t="shared" si="61"/>
        <v>0-0</v>
      </c>
      <c r="J178" s="95">
        <f>D$20</f>
        <v>0</v>
      </c>
      <c r="K178" s="95" t="str">
        <f t="shared" si="62"/>
        <v>SR</v>
      </c>
      <c r="L178" s="95" t="str">
        <f t="shared" si="63"/>
        <v>0</v>
      </c>
      <c r="M178" s="95" t="str">
        <f t="shared" si="64"/>
        <v>0</v>
      </c>
      <c r="N178" s="95" t="str">
        <f t="shared" si="65"/>
        <v>0</v>
      </c>
      <c r="O178" s="95" t="str">
        <f t="shared" si="66"/>
        <v>0</v>
      </c>
      <c r="P178" s="95" t="str">
        <f t="shared" si="67"/>
        <v>0</v>
      </c>
      <c r="Q178" s="95">
        <f>IF(AND(G178=T$20,LEN(G178)&gt;1),1,0)</f>
        <v>0</v>
      </c>
      <c r="R178" s="97">
        <f>Doubles!G$20</f>
        <v>19</v>
      </c>
      <c r="S178" s="95">
        <f>IF(AND(H178=H$20,LEN(H178)&gt;1,Q178=1),1,0)</f>
        <v>0</v>
      </c>
      <c r="V178" s="97">
        <f>VLOOKUP(19,R160:S183,2,0)</f>
        <v>0</v>
      </c>
      <c r="W178" s="95">
        <v>19</v>
      </c>
    </row>
    <row r="179" spans="1:29">
      <c r="A179" s="95">
        <v>20</v>
      </c>
      <c r="B179" s="95">
        <f>IF(Doubles!H83="",0,Doubles!H83)</f>
        <v>0</v>
      </c>
      <c r="C179" s="99" t="str">
        <f>IF(OR(LEFT(B179,LEN(B$21))=B$21,LEFT(B179,LEN(C$21))=C$21,LEN(B179)&lt;2),"",IF(B179="no pick","","Wrong pick"))</f>
        <v/>
      </c>
      <c r="E179" s="95">
        <f t="shared" si="60"/>
        <v>0</v>
      </c>
      <c r="G179" s="95" t="str">
        <f>IF(B179=0,"",IF(B179="no pick","No Pick",IF(LEFT(B179,LEN(B$21))=B$21,B$21,C$21)))</f>
        <v/>
      </c>
      <c r="H179" s="95" t="str">
        <f t="shared" si="61"/>
        <v>0-0</v>
      </c>
      <c r="J179" s="95">
        <f>D$21</f>
        <v>0</v>
      </c>
      <c r="K179" s="95" t="str">
        <f t="shared" si="62"/>
        <v>SR</v>
      </c>
      <c r="L179" s="95" t="str">
        <f t="shared" si="63"/>
        <v>0</v>
      </c>
      <c r="M179" s="95" t="str">
        <f t="shared" si="64"/>
        <v>0</v>
      </c>
      <c r="N179" s="95" t="str">
        <f t="shared" si="65"/>
        <v>0</v>
      </c>
      <c r="O179" s="95" t="str">
        <f t="shared" si="66"/>
        <v>0</v>
      </c>
      <c r="P179" s="95" t="str">
        <f t="shared" si="67"/>
        <v>0</v>
      </c>
      <c r="Q179" s="95">
        <f>IF(AND(G179=T$21,LEN(G179)&gt;1),1,0)</f>
        <v>0</v>
      </c>
      <c r="R179" s="97">
        <f>Doubles!G$21</f>
        <v>20</v>
      </c>
      <c r="S179" s="95">
        <f>IF(AND(H179=H$21,LEN(H179)&gt;1,Q179=1),1,0)</f>
        <v>0</v>
      </c>
      <c r="V179" s="97">
        <f>VLOOKUP(20,R160:S183,2,0)</f>
        <v>0</v>
      </c>
      <c r="W179" s="95">
        <v>20</v>
      </c>
    </row>
    <row r="180" spans="1:29">
      <c r="A180" s="95">
        <v>21</v>
      </c>
      <c r="B180" s="95">
        <f>IF(Doubles!H84="",0,Doubles!H84)</f>
        <v>0</v>
      </c>
      <c r="C180" s="99" t="str">
        <f>IF(OR(LEFT(B180,LEN(B$22))=B$22,LEFT(B180,LEN(C$22))=C$22,LEN(B180)&lt;2),"",IF(B180="no pick","","Wrong pick"))</f>
        <v/>
      </c>
      <c r="E180" s="95">
        <f t="shared" si="60"/>
        <v>0</v>
      </c>
      <c r="G180" s="95" t="str">
        <f>IF(B180=0,"",IF(B180="no pick","No Pick",IF(LEFT(B180,LEN(B$22))=B$22,B$22,C$22)))</f>
        <v/>
      </c>
      <c r="H180" s="95" t="str">
        <f t="shared" si="61"/>
        <v>0-0</v>
      </c>
      <c r="J180" s="95">
        <f>D$22</f>
        <v>0</v>
      </c>
      <c r="K180" s="95" t="str">
        <f t="shared" si="62"/>
        <v>SR</v>
      </c>
      <c r="L180" s="95" t="str">
        <f t="shared" si="63"/>
        <v>0</v>
      </c>
      <c r="M180" s="95" t="str">
        <f t="shared" si="64"/>
        <v>0</v>
      </c>
      <c r="N180" s="95" t="str">
        <f t="shared" si="65"/>
        <v>0</v>
      </c>
      <c r="O180" s="95" t="str">
        <f t="shared" si="66"/>
        <v>0</v>
      </c>
      <c r="P180" s="95" t="str">
        <f t="shared" si="67"/>
        <v>0</v>
      </c>
      <c r="Q180" s="95">
        <f>IF(AND(G180=T$22,LEN(G180)&gt;1),1,0)</f>
        <v>0</v>
      </c>
      <c r="R180" s="97">
        <f>Doubles!G$22</f>
        <v>21</v>
      </c>
      <c r="S180" s="95">
        <f>IF(AND(H180=H$22,LEN(H180)&gt;1,Q180=1),1,0)</f>
        <v>0</v>
      </c>
      <c r="V180" s="97">
        <f>VLOOKUP(21,R160:S183,2,0)</f>
        <v>0</v>
      </c>
      <c r="W180" s="95">
        <v>21</v>
      </c>
    </row>
    <row r="181" spans="1:29">
      <c r="A181" s="95">
        <v>22</v>
      </c>
      <c r="B181" s="95">
        <f>IF(Doubles!H85="",0,Doubles!H85)</f>
        <v>0</v>
      </c>
      <c r="C181" s="99" t="str">
        <f>IF(OR(LEFT(B181,LEN(B$23))=B$23,LEFT(B181,LEN(C$23))=C$23,LEN(B181)&lt;2),"",IF(B181="no pick","","Wrong pick"))</f>
        <v/>
      </c>
      <c r="E181" s="95">
        <f t="shared" si="60"/>
        <v>0</v>
      </c>
      <c r="G181" s="95" t="str">
        <f>IF(B181=0,"",IF(B181="no pick","No Pick",IF(LEFT(B181,LEN(B$23))=B$23,B$23,C$23)))</f>
        <v/>
      </c>
      <c r="H181" s="95" t="str">
        <f t="shared" si="61"/>
        <v>0-0</v>
      </c>
      <c r="J181" s="95">
        <f>D$23</f>
        <v>0</v>
      </c>
      <c r="K181" s="95" t="str">
        <f t="shared" si="62"/>
        <v>SR</v>
      </c>
      <c r="L181" s="95" t="str">
        <f t="shared" si="63"/>
        <v>0</v>
      </c>
      <c r="M181" s="95" t="str">
        <f t="shared" si="64"/>
        <v>0</v>
      </c>
      <c r="N181" s="95" t="str">
        <f t="shared" si="65"/>
        <v>0</v>
      </c>
      <c r="O181" s="95" t="str">
        <f t="shared" si="66"/>
        <v>0</v>
      </c>
      <c r="P181" s="95" t="str">
        <f t="shared" si="67"/>
        <v>0</v>
      </c>
      <c r="Q181" s="95">
        <f>IF(AND(G181=T$23,LEN(G181)&gt;1),1,0)</f>
        <v>0</v>
      </c>
      <c r="R181" s="97">
        <f>Doubles!G$23</f>
        <v>22</v>
      </c>
      <c r="S181" s="95">
        <f>IF(AND(H181=H$23,LEN(H181)&gt;1,Q181=1),1,0)</f>
        <v>0</v>
      </c>
      <c r="V181" s="97">
        <f>VLOOKUP(22,R160:S183,2,0)</f>
        <v>0</v>
      </c>
      <c r="W181" s="95">
        <v>22</v>
      </c>
    </row>
    <row r="182" spans="1:29">
      <c r="A182" s="95">
        <v>23</v>
      </c>
      <c r="B182" s="95">
        <f>IF(Doubles!H86="",0,Doubles!H86)</f>
        <v>0</v>
      </c>
      <c r="C182" s="99" t="str">
        <f>IF(OR(LEFT(B182,LEN(B$24))=B$24,LEFT(B182,LEN(C$24))=C$24,LEN(B182)&lt;2),"",IF(B182="no pick","","Wrong pick"))</f>
        <v/>
      </c>
      <c r="E182" s="95">
        <f t="shared" si="60"/>
        <v>0</v>
      </c>
      <c r="G182" s="95" t="str">
        <f>IF(B182=0,"",IF(B182="no pick","No Pick",IF(LEFT(B182,LEN(B$24))=B$24,B$24,C$24)))</f>
        <v/>
      </c>
      <c r="H182" s="95" t="str">
        <f t="shared" si="61"/>
        <v>0-0</v>
      </c>
      <c r="J182" s="95">
        <f>D$24</f>
        <v>0</v>
      </c>
      <c r="K182" s="95" t="str">
        <f t="shared" si="62"/>
        <v>SR</v>
      </c>
      <c r="L182" s="95" t="str">
        <f t="shared" si="63"/>
        <v>0</v>
      </c>
      <c r="M182" s="95" t="str">
        <f t="shared" si="64"/>
        <v>0</v>
      </c>
      <c r="N182" s="95" t="str">
        <f t="shared" si="65"/>
        <v>0</v>
      </c>
      <c r="O182" s="95" t="str">
        <f t="shared" si="66"/>
        <v>0</v>
      </c>
      <c r="P182" s="95" t="str">
        <f t="shared" si="67"/>
        <v>0</v>
      </c>
      <c r="Q182" s="95">
        <f>IF(AND(G182=T$24,LEN(G182)&gt;1),1,0)</f>
        <v>0</v>
      </c>
      <c r="R182" s="97">
        <f>Doubles!G$24</f>
        <v>23</v>
      </c>
      <c r="S182" s="95">
        <f>IF(AND(H182=H$24,LEN(H182)&gt;1,Q182=1),1,0)</f>
        <v>0</v>
      </c>
      <c r="V182" s="97">
        <f>VLOOKUP(23,R160:S183,2,0)</f>
        <v>0</v>
      </c>
      <c r="W182" s="95">
        <v>23</v>
      </c>
    </row>
    <row r="183" spans="1:29">
      <c r="A183" s="95">
        <v>24</v>
      </c>
      <c r="B183" s="95">
        <f>IF(Doubles!H87="",0,Doubles!H87)</f>
        <v>0</v>
      </c>
      <c r="C183" s="99" t="str">
        <f>IF(OR(LEFT(B183,LEN(B$25))=B$25,LEFT(B183,LEN(C$25))=C$25,LEN(B183)&lt;2),"",IF(B183="no pick","","Wrong pick"))</f>
        <v/>
      </c>
      <c r="E183" s="95">
        <f t="shared" si="60"/>
        <v>0</v>
      </c>
      <c r="G183" s="95" t="str">
        <f>IF(B183=0,"",IF(B183="no pick","No Pick",IF(LEFT(B183,LEN(B$25))=B$25,B$25,C$25)))</f>
        <v/>
      </c>
      <c r="H183" s="95" t="str">
        <f t="shared" si="61"/>
        <v>0-0</v>
      </c>
      <c r="J183" s="95">
        <f>D$25</f>
        <v>0</v>
      </c>
      <c r="K183" s="95" t="str">
        <f t="shared" si="62"/>
        <v>SR</v>
      </c>
      <c r="L183" s="95" t="str">
        <f t="shared" si="63"/>
        <v>0</v>
      </c>
      <c r="M183" s="95" t="str">
        <f t="shared" si="64"/>
        <v>0</v>
      </c>
      <c r="N183" s="95" t="str">
        <f t="shared" si="65"/>
        <v>0</v>
      </c>
      <c r="O183" s="95" t="str">
        <f t="shared" si="66"/>
        <v>0</v>
      </c>
      <c r="P183" s="95" t="str">
        <f t="shared" si="67"/>
        <v>0</v>
      </c>
      <c r="Q183" s="95">
        <f>IF(AND(G183=T$25,LEN(G183)&gt;1),1,0)</f>
        <v>0</v>
      </c>
      <c r="R183" s="97">
        <f>Doubles!G$25</f>
        <v>24</v>
      </c>
      <c r="S183" s="95">
        <f>IF(AND(H183=H$25,LEN(H183)&gt;1,Q183=1),1,0)</f>
        <v>0</v>
      </c>
      <c r="V183" s="97">
        <f>VLOOKUP(24,R160:S183,2,0)</f>
        <v>0</v>
      </c>
      <c r="W183" s="95">
        <v>24</v>
      </c>
    </row>
    <row r="184" spans="1:29">
      <c r="L184" s="98" t="s">
        <v>120</v>
      </c>
      <c r="W184" s="95">
        <v>25</v>
      </c>
    </row>
    <row r="185" spans="1:29">
      <c r="A185" s="95" t="str">
        <f>IF(LEN(VLOOKUP(B185,Doubles!$B$2:$D$17,3,0))&gt;0,VLOOKUP(B185,Doubles!$B$2:$D$17,3,0),"")</f>
        <v/>
      </c>
      <c r="B185" s="96" t="str">
        <f>Doubles!G63</f>
        <v>igorpetrov</v>
      </c>
      <c r="C185" s="96">
        <v>3</v>
      </c>
      <c r="D185" s="95" t="str">
        <f>VLOOKUP(B185,Doubles!$B$2:$F$17,5,0)</f>
        <v>XXX</v>
      </c>
      <c r="J185" s="95" t="s">
        <v>88</v>
      </c>
      <c r="Q185" s="95" t="s">
        <v>121</v>
      </c>
      <c r="S185" s="95" t="s">
        <v>122</v>
      </c>
      <c r="T185" s="95" t="str">
        <f>B185</f>
        <v>igorpetrov</v>
      </c>
      <c r="V185" s="95" t="s">
        <v>122</v>
      </c>
    </row>
    <row r="186" spans="1:29">
      <c r="A186" s="95">
        <v>1</v>
      </c>
      <c r="B186" s="95">
        <f>IF(Doubles!G64="",0,Doubles!G64)</f>
        <v>0</v>
      </c>
      <c r="C186" s="99" t="str">
        <f>IF(OR(LEFT(B186,LEN(B$2))=B$2,LEFT(B186,LEN(C$2))=C$2,LEN(B186)&lt;2),"",IF(B186="no pick","","Wrong pick"))</f>
        <v/>
      </c>
      <c r="D186" s="95">
        <f t="shared" ref="D186:D209" si="68">IF(G186=G212,0,1)</f>
        <v>0</v>
      </c>
      <c r="E186" s="95">
        <f t="shared" ref="E186:E209" si="69">IF(AND($I$2=J186,B186=0),1,0)</f>
        <v>1</v>
      </c>
      <c r="F186" s="95" t="str">
        <f>IF(AND(SUM(E186:E209)=$I$4,NOT(B185="Bye")),"Missing picks from "&amp;B185&amp;" ","")</f>
        <v xml:space="preserve">Missing picks from igorpetrov </v>
      </c>
      <c r="G186" s="95" t="str">
        <f>IF(B186=0,"",IF(B186="no pick","No Pick",IF(LEFT(B186,LEN(B$2))=B$2,B$2,C$2)))</f>
        <v/>
      </c>
      <c r="H186" s="95" t="str">
        <f t="shared" ref="H186:H209" si="70">IF(L186="","",IF(K186="PTS",IF(LEN(O186)&lt;8,"2-0","2-1"),LEFT(O186,1)&amp;"-"&amp;RIGHT(O186,1)))</f>
        <v>0-0</v>
      </c>
      <c r="I186" s="95" t="str">
        <f>IF(AND(J186=$I$2,F$2=0,NOT(E$2="")),IF(OR(AND(Y186=AA186,Z186=AB186),AND(Y186=AB186,Z186=AA186)),"",IF(AND(Y186=Z186,AA186=AB186),Y186&amp;" +2 v. "&amp;AA186&amp;" +2, ",IF(Y186=AA186,Z186&amp;" v. "&amp;AB186&amp;", ",IF(Z186=AB186,Y186&amp;" v. "&amp;AA186&amp;", ",IF(Y186=AB186,Z186&amp;" v. "&amp;AA186&amp;", ",IF(Z186=AA186,Y186&amp;" v. "&amp;AB186&amp;", ",Y186&amp;" v. "&amp;AA186&amp;", "&amp;Z186&amp;" v. "&amp;AB186&amp;", ")))))),"")</f>
        <v/>
      </c>
      <c r="J186" s="97">
        <f>D$2</f>
        <v>1</v>
      </c>
      <c r="K186" s="95" t="str">
        <f t="shared" ref="K186:K209" si="71">IF(LEN(L186)&gt;0,IF(LEN(O186)&lt;4,"SR","PTS"),"")</f>
        <v>SR</v>
      </c>
      <c r="L186" s="95" t="str">
        <f t="shared" ref="L186:L209" si="72">TRIM(RIGHT(B186,LEN(B186)-LEN(G186)))</f>
        <v>0</v>
      </c>
      <c r="M186" s="95" t="str">
        <f t="shared" ref="M186:M209" si="73">SUBSTITUTE(L186,"-","")</f>
        <v>0</v>
      </c>
      <c r="N186" s="95" t="str">
        <f t="shared" ref="N186:N209" si="74">SUBSTITUTE(M186,","," ")</f>
        <v>0</v>
      </c>
      <c r="O186" s="95" t="str">
        <f t="shared" ref="O186:O209" si="75">IF(AND(LEN(TRIM(SUBSTITUTE(P186,"/","")))&gt;6,OR(LEFT(TRIM(SUBSTITUTE(P186,"/","")),2)="20",LEFT(TRIM(SUBSTITUTE(P186,"/","")),2)="21")),RIGHT(TRIM(SUBSTITUTE(P186,"/","")),LEN(TRIM(SUBSTITUTE(P186,"/","")))-3),TRIM(SUBSTITUTE(P186,"/","")))</f>
        <v>0</v>
      </c>
      <c r="P186" s="95" t="str">
        <f t="shared" ref="P186:P209" si="76">SUBSTITUTE(N186,":","")</f>
        <v>0</v>
      </c>
      <c r="Q186" s="95">
        <f>IF(AND(G186=T$2,LEN(G186)&gt;1),1,0)</f>
        <v>0</v>
      </c>
      <c r="R186" s="97">
        <f>Doubles!G$2</f>
        <v>1</v>
      </c>
      <c r="S186" s="95">
        <f>IF(AND(H186=H$2,LEN(H186)&gt;1,Q186=1),1,0)</f>
        <v>0</v>
      </c>
      <c r="T186" s="95" t="str">
        <f>" SR Differences: "&amp;IF(LEN(I186&amp;I187&amp;I188&amp;I189&amp;I190&amp;I191&amp;I192&amp;I193&amp;I194&amp;I195&amp;I196&amp;I197&amp;I198&amp;I199&amp;I200&amp;I201)&lt;3,"None..",I186&amp;I187&amp;I188&amp;I189&amp;I190&amp;I191&amp;I192&amp;I193&amp;I194&amp;I195&amp;I196&amp;I197&amp;I198&amp;I199&amp;I200&amp;I201)</f>
        <v xml:space="preserve"> SR Differences: None..</v>
      </c>
      <c r="V186" s="97">
        <f>VLOOKUP(1,R186:S209,2,0)</f>
        <v>0</v>
      </c>
      <c r="W186" s="95" t="str">
        <f t="shared" ref="W186:W209" si="77">IF(J134=$I$2,IF(OR(G134&amp;G186=G160&amp;G212,G134&amp;G186=G212&amp;G160),"",IF(G160=G212,G160,IF(OR(G134=G160,G160=G186),G212,IF(OR(G212=G134,G186=G212),G160,G160&amp;", "&amp;G212)))),"")</f>
        <v/>
      </c>
      <c r="X186" s="95">
        <f>IF(F$2=0,IF(AND(G160=G212,NOT(G134=G160),NOT(G186=G212),LEN(W134)&gt;0),2,IF(LEN(W134)=0,0,1)),0)</f>
        <v>0</v>
      </c>
      <c r="AC186" s="95" t="str">
        <f>IF(AND(LEN(W186)&gt;0,F$2=0),IF(X186=2,W186&amp;" +2, ",W186&amp;", "),"")</f>
        <v/>
      </c>
    </row>
    <row r="187" spans="1:29">
      <c r="A187" s="95">
        <v>2</v>
      </c>
      <c r="B187" s="95">
        <f>IF(Doubles!G65="",0,Doubles!G65)</f>
        <v>0</v>
      </c>
      <c r="C187" s="99" t="str">
        <f>IF(OR(LEFT(B187,LEN(B$3))=B$3,LEFT(B187,LEN(C$3))=C$3,LEN(B187)&lt;2),"",IF(B187="no pick","","Wrong pick"))</f>
        <v/>
      </c>
      <c r="D187" s="95">
        <f t="shared" si="68"/>
        <v>0</v>
      </c>
      <c r="E187" s="95">
        <f t="shared" si="69"/>
        <v>1</v>
      </c>
      <c r="G187" s="95" t="str">
        <f>IF(B187=0,"",IF(B187="no pick","No Pick",IF(LEFT(B187,LEN(B$3))=B$3,B$3,C$3)))</f>
        <v/>
      </c>
      <c r="H187" s="95" t="str">
        <f t="shared" si="70"/>
        <v>0-0</v>
      </c>
      <c r="I187" s="95" t="str">
        <f>IF(AND(J187=$I$2,F$3=0,NOT(E$3="")),IF(OR(AND(Y187=AA187,Z187=AB187),AND(Y187=AB187,Z187=AA187)),"",IF(AND(Y187=Z187,AA187=AB187),Y187&amp;" +2 v. "&amp;AA187&amp;" +2, ",IF(Y187=AA187,Z187&amp;" v. "&amp;AB187&amp;", ",IF(Z187=AB187,Y187&amp;" v. "&amp;AA187&amp;", ",IF(Y187=AB187,Z187&amp;" v. "&amp;AA187&amp;", ",IF(Z187=AA187,Y187&amp;" v. "&amp;AB187&amp;", ",Y187&amp;" v. "&amp;AA187&amp;", "&amp;Z187&amp;" v. "&amp;AB187&amp;", ")))))),"")</f>
        <v/>
      </c>
      <c r="J187" s="97">
        <f>D$3</f>
        <v>1</v>
      </c>
      <c r="K187" s="95" t="str">
        <f t="shared" si="71"/>
        <v>SR</v>
      </c>
      <c r="L187" s="95" t="str">
        <f t="shared" si="72"/>
        <v>0</v>
      </c>
      <c r="M187" s="95" t="str">
        <f t="shared" si="73"/>
        <v>0</v>
      </c>
      <c r="N187" s="95" t="str">
        <f t="shared" si="74"/>
        <v>0</v>
      </c>
      <c r="O187" s="95" t="str">
        <f t="shared" si="75"/>
        <v>0</v>
      </c>
      <c r="P187" s="95" t="str">
        <f t="shared" si="76"/>
        <v>0</v>
      </c>
      <c r="Q187" s="95">
        <f>IF(AND(G187=T$3,LEN(G187)&gt;1),1,0)</f>
        <v>0</v>
      </c>
      <c r="R187" s="97">
        <f>Doubles!G$3</f>
        <v>2</v>
      </c>
      <c r="S187" s="95">
        <f>IF(AND(H187=H$3,LEN(H187)&gt;1,Q187=1),1,0)</f>
        <v>0</v>
      </c>
      <c r="T187" s="95" t="str">
        <f>IF(T188&gt;0,LEFT(E186,LEN(E186)-2)&amp;" vs. "&amp;LEFT(E212,LEN(E212)-2),"Same winners;")</f>
        <v>Same winners;</v>
      </c>
      <c r="V187" s="97">
        <f>VLOOKUP(2,R186:S209,2,0)</f>
        <v>0</v>
      </c>
      <c r="W187" s="95" t="str">
        <f t="shared" si="77"/>
        <v/>
      </c>
      <c r="X187" s="95">
        <f>IF(F$3=0,IF(AND(G161=G213,NOT(G135=G161),NOT(G187=G213),LEN(W135)&gt;0),2,IF(LEN(W135)=0,0,1)),0)</f>
        <v>0</v>
      </c>
      <c r="AC187" s="95" t="str">
        <f>IF(AND(LEN(W187)&gt;0,F$3=0),IF(X187=2,W187&amp;" +2, ",W187&amp;", "),"")</f>
        <v/>
      </c>
    </row>
    <row r="188" spans="1:29">
      <c r="A188" s="95">
        <v>3</v>
      </c>
      <c r="B188" s="95">
        <f>IF(Doubles!G66="",0,Doubles!G66)</f>
        <v>0</v>
      </c>
      <c r="C188" s="99" t="str">
        <f>IF(OR(LEFT(B188,LEN(B$4))=B$4,LEFT(B188,LEN(C$4))=C$4,LEN(B188)&lt;2),"",IF(B188="no pick","","Wrong pick"))</f>
        <v/>
      </c>
      <c r="D188" s="95">
        <f t="shared" si="68"/>
        <v>0</v>
      </c>
      <c r="E188" s="95">
        <f t="shared" si="69"/>
        <v>1</v>
      </c>
      <c r="G188" s="95" t="str">
        <f>IF(B188=0,"",IF(B188="no pick","No Pick",IF(LEFT(B188,LEN(B$4))=B$4,B$4,C$4)))</f>
        <v/>
      </c>
      <c r="H188" s="95" t="str">
        <f t="shared" si="70"/>
        <v>0-0</v>
      </c>
      <c r="I188" s="95" t="str">
        <f>IF(AND(J188=$I$2,F$4=0,NOT(E$4="")),IF(OR(AND(Y188=AA188,Z188=AB188),AND(Y188=AB188,Z188=AA188)),"",IF(AND(Y188=Z188,AA188=AB188),Y188&amp;" +2 v. "&amp;AA188&amp;" +2, ",IF(Y188=AA188,Z188&amp;" v. "&amp;AB188&amp;", ",IF(Z188=AB188,Y188&amp;" v. "&amp;AA188&amp;", ",IF(Y188=AB188,Z188&amp;" v. "&amp;AA188&amp;", ",IF(Z188=AA188,Y188&amp;" v. "&amp;AB188&amp;", ",Y188&amp;" v. "&amp;AA188&amp;", "&amp;Z188&amp;" v. "&amp;AB188&amp;", ")))))),"")</f>
        <v/>
      </c>
      <c r="J188" s="97">
        <f>D$4</f>
        <v>1</v>
      </c>
      <c r="K188" s="95" t="str">
        <f t="shared" si="71"/>
        <v>SR</v>
      </c>
      <c r="L188" s="95" t="str">
        <f t="shared" si="72"/>
        <v>0</v>
      </c>
      <c r="M188" s="95" t="str">
        <f t="shared" si="73"/>
        <v>0</v>
      </c>
      <c r="N188" s="95" t="str">
        <f t="shared" si="74"/>
        <v>0</v>
      </c>
      <c r="O188" s="95" t="str">
        <f t="shared" si="75"/>
        <v>0</v>
      </c>
      <c r="P188" s="95" t="str">
        <f t="shared" si="76"/>
        <v>0</v>
      </c>
      <c r="Q188" s="95">
        <f>IF(AND(G188=T$4,LEN(G188)&gt;1),1,0)</f>
        <v>0</v>
      </c>
      <c r="R188" s="97">
        <f>Doubles!G$4</f>
        <v>3</v>
      </c>
      <c r="S188" s="95">
        <f>IF(AND(H188=H$4,LEN(H188)&gt;1,Q188=1),1,0)</f>
        <v>0</v>
      </c>
      <c r="T188" s="101">
        <f>SUMIF(J186:J201,$I$2,D186:D201)</f>
        <v>0</v>
      </c>
      <c r="V188" s="97">
        <f>VLOOKUP(3,R186:S209,2,0)</f>
        <v>0</v>
      </c>
      <c r="W188" s="95" t="str">
        <f t="shared" si="77"/>
        <v/>
      </c>
      <c r="X188" s="95">
        <f>IF(F$4=0,IF(AND(G162=G214,NOT(G136=G162),NOT(G188=G214),LEN(W136)&gt;0),2,IF(LEN(W136)=0,0,1)),0)</f>
        <v>0</v>
      </c>
      <c r="AC188" s="95" t="str">
        <f>IF(AND(LEN(W188)&gt;0,F$4=0),IF(X188=2,W188&amp;" +2, ",W188&amp;", "),"")</f>
        <v/>
      </c>
    </row>
    <row r="189" spans="1:29">
      <c r="A189" s="95">
        <v>4</v>
      </c>
      <c r="B189" s="95">
        <f>IF(Doubles!G67="",0,Doubles!G67)</f>
        <v>0</v>
      </c>
      <c r="C189" s="99" t="str">
        <f>IF(OR(LEFT(B189,LEN(B$5))=B$5,LEFT(B189,LEN(C$5))=C$5,LEN(B189)&lt;2),"",IF(B189="no pick","","Wrong pick"))</f>
        <v/>
      </c>
      <c r="D189" s="95">
        <f t="shared" si="68"/>
        <v>0</v>
      </c>
      <c r="E189" s="95">
        <f t="shared" si="69"/>
        <v>1</v>
      </c>
      <c r="G189" s="95" t="str">
        <f>IF(B189=0,"",IF(B189="no pick","No Pick",IF(LEFT(B189,LEN(B$5))=B$5,B$5,C$5)))</f>
        <v/>
      </c>
      <c r="H189" s="95" t="str">
        <f t="shared" si="70"/>
        <v>0-0</v>
      </c>
      <c r="I189" s="95" t="str">
        <f>IF(AND(J189=$I$2,F$5=0,NOT(E$5="")),IF(OR(AND(Y189=AA189,Z189=AB189),AND(Y189=AB189,Z189=AA189)),"",IF(AND(Y189=Z189,AA189=AB189),Y189&amp;" +2 v. "&amp;AA189&amp;" +2, ",IF(Y189=AA189,Z189&amp;" v. "&amp;AB189&amp;", ",IF(Z189=AB189,Y189&amp;" v. "&amp;AA189&amp;", ",IF(Y189=AB189,Z189&amp;" v. "&amp;AA189&amp;", ",IF(Z189=AA189,Y189&amp;" v. "&amp;AB189&amp;", ",Y189&amp;" v. "&amp;AA189&amp;", "&amp;Z189&amp;" v. "&amp;AB189&amp;", ")))))),"")</f>
        <v/>
      </c>
      <c r="J189" s="97">
        <f>D$5</f>
        <v>1</v>
      </c>
      <c r="K189" s="95" t="str">
        <f t="shared" si="71"/>
        <v>SR</v>
      </c>
      <c r="L189" s="95" t="str">
        <f t="shared" si="72"/>
        <v>0</v>
      </c>
      <c r="M189" s="95" t="str">
        <f t="shared" si="73"/>
        <v>0</v>
      </c>
      <c r="N189" s="95" t="str">
        <f t="shared" si="74"/>
        <v>0</v>
      </c>
      <c r="O189" s="95" t="str">
        <f t="shared" si="75"/>
        <v>0</v>
      </c>
      <c r="P189" s="95" t="str">
        <f t="shared" si="76"/>
        <v>0</v>
      </c>
      <c r="Q189" s="95">
        <f>IF(AND(G189=T$5,LEN(G189)&gt;1),1,0)</f>
        <v>0</v>
      </c>
      <c r="R189" s="97">
        <f>Doubles!G$5</f>
        <v>4</v>
      </c>
      <c r="S189" s="95">
        <f>IF(AND(H189=H$5,LEN(H189)&gt;1,Q189=1),1,0)</f>
        <v>0</v>
      </c>
      <c r="U189" s="95" t="str">
        <f>AC134&amp;AC135&amp;AC136&amp;AC137&amp;AC138&amp;AC139&amp;AC140&amp;AC141&amp;AC142&amp;AC143&amp;AC144&amp;AC145&amp;AC146&amp;AC147&amp;AC148&amp;AC149&amp;AC150&amp;AC151&amp;AC152&amp;AC153&amp;AC154&amp;AC155&amp;AC156&amp;AC157</f>
        <v/>
      </c>
      <c r="V189" s="97">
        <f>VLOOKUP(4,R186:S209,2,0)</f>
        <v>0</v>
      </c>
      <c r="W189" s="95" t="str">
        <f t="shared" si="77"/>
        <v/>
      </c>
      <c r="X189" s="95">
        <f>IF(F$5=0,IF(AND(G163=G215,NOT(G137=G163),NOT(G189=G215),LEN(W137)&gt;0),2,IF(LEN(W137)=0,0,1)),0)</f>
        <v>0</v>
      </c>
      <c r="AC189" s="95" t="str">
        <f>IF(AND(LEN(W189)&gt;0,F$5=0),IF(X189=2,W189&amp;" +2, ",W189&amp;", "),"")</f>
        <v/>
      </c>
    </row>
    <row r="190" spans="1:29">
      <c r="A190" s="95">
        <v>5</v>
      </c>
      <c r="B190" s="95">
        <f>IF(Doubles!G68="",0,Doubles!G68)</f>
        <v>0</v>
      </c>
      <c r="C190" s="99" t="str">
        <f>IF(OR(LEFT(B190,LEN(B$6))=B$6,LEFT(B190,LEN(C$6))=C$6,LEN(B190)&lt;2),"",IF(B190="no pick","","Wrong pick"))</f>
        <v/>
      </c>
      <c r="D190" s="95">
        <f t="shared" si="68"/>
        <v>0</v>
      </c>
      <c r="E190" s="95">
        <f t="shared" si="69"/>
        <v>1</v>
      </c>
      <c r="G190" s="95" t="str">
        <f>IF(B190=0,"",IF(B190="no pick","No Pick",IF(LEFT(B190,LEN(B$6))=B$6,B$6,C$6)))</f>
        <v/>
      </c>
      <c r="H190" s="95" t="str">
        <f t="shared" si="70"/>
        <v>0-0</v>
      </c>
      <c r="I190" s="95" t="str">
        <f>IF(AND(J190=$I$2,F$6=0,NOT(E$6="")),IF(OR(AND(Y190=AA190,Z190=AB190),AND(Y190=AB190,Z190=AA190)),"",IF(AND(Y190=Z190,AA190=AB190),Y190&amp;" +2 v. "&amp;AA190&amp;" +2, ",IF(Y190=AA190,Z190&amp;" v. "&amp;AB190&amp;", ",IF(Z190=AB190,Y190&amp;" v. "&amp;AA190&amp;", ",IF(Y190=AB190,Z190&amp;" v. "&amp;AA190&amp;", ",IF(Z190=AA190,Y190&amp;" v. "&amp;AB190&amp;", ",Y190&amp;" v. "&amp;AA190&amp;", "&amp;Z190&amp;" v. "&amp;AB190&amp;", ")))))),"")</f>
        <v/>
      </c>
      <c r="J190" s="97">
        <f>D$6</f>
        <v>1</v>
      </c>
      <c r="K190" s="95" t="str">
        <f t="shared" si="71"/>
        <v>SR</v>
      </c>
      <c r="L190" s="95" t="str">
        <f t="shared" si="72"/>
        <v>0</v>
      </c>
      <c r="M190" s="95" t="str">
        <f t="shared" si="73"/>
        <v>0</v>
      </c>
      <c r="N190" s="95" t="str">
        <f t="shared" si="74"/>
        <v>0</v>
      </c>
      <c r="O190" s="95" t="str">
        <f t="shared" si="75"/>
        <v>0</v>
      </c>
      <c r="P190" s="95" t="str">
        <f t="shared" si="76"/>
        <v>0</v>
      </c>
      <c r="Q190" s="95">
        <f>IF(AND(G190=T$6,LEN(G190)&gt;1),1,0)</f>
        <v>0</v>
      </c>
      <c r="R190" s="97">
        <f>Doubles!G$6</f>
        <v>5</v>
      </c>
      <c r="S190" s="95">
        <f>IF(AND(H190=H$6,LEN(H190)&gt;1,Q190=1),1,0)</f>
        <v>0</v>
      </c>
      <c r="U190" s="95" t="str">
        <f>AC186&amp;AC187&amp;AC188&amp;AC189&amp;AC190&amp;AC191&amp;AC192&amp;AC193&amp;AC194&amp;AC195&amp;AC196&amp;AC197&amp;AC198&amp;AC199&amp;AC200&amp;AC201&amp;AC202&amp;AC203&amp;AC204&amp;AC205&amp;AC206&amp;AC207&amp;AC208&amp;AC209</f>
        <v/>
      </c>
      <c r="V190" s="97">
        <f>VLOOKUP(5,R186:S209,2,0)</f>
        <v>0</v>
      </c>
      <c r="W190" s="95" t="str">
        <f t="shared" si="77"/>
        <v/>
      </c>
      <c r="X190" s="95">
        <f>IF(F$6=0,IF(AND(G164=G216,NOT(G138=G164),NOT(G190=G216),LEN(W138)&gt;0),2,IF(LEN(W138)=0,0,1)),0)</f>
        <v>0</v>
      </c>
      <c r="AC190" s="95" t="str">
        <f>IF(AND(LEN(W190)&gt;0,F$6=0),IF(X190=2,W190&amp;" +2, ",W190&amp;", "),"")</f>
        <v/>
      </c>
    </row>
    <row r="191" spans="1:29">
      <c r="A191" s="95">
        <v>6</v>
      </c>
      <c r="B191" s="95">
        <f>IF(Doubles!G69="",0,Doubles!G69)</f>
        <v>0</v>
      </c>
      <c r="C191" s="99" t="str">
        <f>IF(OR(LEFT(B191,LEN(B$7))=B$7,LEFT(B191,LEN(C$7))=C$7,LEN(B191)&lt;2),"",IF(B191="no pick","","Wrong pick"))</f>
        <v/>
      </c>
      <c r="D191" s="95">
        <f t="shared" si="68"/>
        <v>0</v>
      </c>
      <c r="E191" s="95">
        <f t="shared" si="69"/>
        <v>1</v>
      </c>
      <c r="G191" s="95" t="str">
        <f>IF(B191=0,"",IF(B191="no pick","No Pick",IF(LEFT(B191,LEN(B$7))=B$7,B$7,C$7)))</f>
        <v/>
      </c>
      <c r="H191" s="95" t="str">
        <f t="shared" si="70"/>
        <v>0-0</v>
      </c>
      <c r="I191" s="95" t="str">
        <f>IF(AND(J191=$I$2,F$7=0,NOT(E$7="")),IF(OR(AND(Y191=AA191,Z191=AB191),AND(Y191=AB191,Z191=AA191)),"",IF(AND(Y191=Z191,AA191=AB191),Y191&amp;" +2 v. "&amp;AA191&amp;" +2, ",IF(Y191=AA191,Z191&amp;" v. "&amp;AB191&amp;", ",IF(Z191=AB191,Y191&amp;" v. "&amp;AA191&amp;", ",IF(Y191=AB191,Z191&amp;" v. "&amp;AA191&amp;", ",IF(Z191=AA191,Y191&amp;" v. "&amp;AB191&amp;", ",Y191&amp;" v. "&amp;AA191&amp;", "&amp;Z191&amp;" v. "&amp;AB191&amp;", ")))))),"")</f>
        <v/>
      </c>
      <c r="J191" s="97">
        <f>D$7</f>
        <v>1</v>
      </c>
      <c r="K191" s="95" t="str">
        <f t="shared" si="71"/>
        <v>SR</v>
      </c>
      <c r="L191" s="95" t="str">
        <f t="shared" si="72"/>
        <v>0</v>
      </c>
      <c r="M191" s="95" t="str">
        <f t="shared" si="73"/>
        <v>0</v>
      </c>
      <c r="N191" s="95" t="str">
        <f t="shared" si="74"/>
        <v>0</v>
      </c>
      <c r="O191" s="95" t="str">
        <f t="shared" si="75"/>
        <v>0</v>
      </c>
      <c r="P191" s="95" t="str">
        <f t="shared" si="76"/>
        <v>0</v>
      </c>
      <c r="Q191" s="95">
        <f>IF(AND(G191=T$7,LEN(G191)&gt;1),1,0)</f>
        <v>0</v>
      </c>
      <c r="R191" s="97">
        <f>Doubles!G$7</f>
        <v>6</v>
      </c>
      <c r="S191" s="95">
        <f>IF(AND(H191=H$7,LEN(H191)&gt;1,Q191=1),1,0)</f>
        <v>0</v>
      </c>
      <c r="T191" s="105">
        <f>SUM(Q186:Q209)</f>
        <v>0</v>
      </c>
      <c r="U191" s="97">
        <f>SUM(S186:S209)</f>
        <v>0</v>
      </c>
      <c r="V191" s="97">
        <f>VLOOKUP(6,R186:S209,2,0)</f>
        <v>0</v>
      </c>
      <c r="W191" s="95" t="str">
        <f t="shared" si="77"/>
        <v/>
      </c>
      <c r="X191" s="95">
        <f>IF(F$7=0,IF(AND(G165=G217,NOT(G139=G165),NOT(G191=G217),LEN(W139)&gt;0),2,IF(LEN(W139)=0,0,1)),0)</f>
        <v>0</v>
      </c>
      <c r="AC191" s="95" t="str">
        <f>IF(AND(LEN(W191)&gt;0,F$7=0),IF(X191=2,W191&amp;" +2, ",W191&amp;", "),"")</f>
        <v/>
      </c>
    </row>
    <row r="192" spans="1:29">
      <c r="A192" s="95">
        <v>7</v>
      </c>
      <c r="B192" s="95">
        <f>IF(Doubles!G70="",0,Doubles!G70)</f>
        <v>0</v>
      </c>
      <c r="C192" s="99" t="str">
        <f>IF(OR(LEFT(B192,LEN(B$8))=B$8,LEFT(B192,LEN(C$8))=C$8,LEN(B192)&lt;2),"",IF(B192="no pick","","Wrong pick"))</f>
        <v/>
      </c>
      <c r="D192" s="95">
        <f t="shared" si="68"/>
        <v>0</v>
      </c>
      <c r="E192" s="95">
        <f t="shared" si="69"/>
        <v>1</v>
      </c>
      <c r="G192" s="95" t="str">
        <f>IF(B192=0,"",IF(B192="no pick","No Pick",IF(LEFT(B192,LEN(B$8))=B$8,B$8,C$8)))</f>
        <v/>
      </c>
      <c r="H192" s="95" t="str">
        <f t="shared" si="70"/>
        <v>0-0</v>
      </c>
      <c r="I192" s="95" t="str">
        <f>IF(AND(J192=$I$2,F$8=0,NOT(E$8="")),IF(OR(AND(Y192=AA192,Z192=AB192),AND(Y192=AB192,Z192=AA192)),"",IF(AND(Y192=Z192,AA192=AB192),Y192&amp;" +2 v. "&amp;AA192&amp;" +2, ",IF(Y192=AA192,Z192&amp;" v. "&amp;AB192&amp;", ",IF(Z192=AB192,Y192&amp;" v. "&amp;AA192&amp;", ",IF(Y192=AB192,Z192&amp;" v. "&amp;AA192&amp;", ",IF(Z192=AA192,Y192&amp;" v. "&amp;AB192&amp;", ",Y192&amp;" v. "&amp;AA192&amp;", "&amp;Z192&amp;" v. "&amp;AB192&amp;", ")))))),"")</f>
        <v/>
      </c>
      <c r="J192" s="97">
        <f>D$8</f>
        <v>1</v>
      </c>
      <c r="K192" s="95" t="str">
        <f t="shared" si="71"/>
        <v>SR</v>
      </c>
      <c r="L192" s="95" t="str">
        <f t="shared" si="72"/>
        <v>0</v>
      </c>
      <c r="M192" s="95" t="str">
        <f t="shared" si="73"/>
        <v>0</v>
      </c>
      <c r="N192" s="95" t="str">
        <f t="shared" si="74"/>
        <v>0</v>
      </c>
      <c r="O192" s="95" t="str">
        <f t="shared" si="75"/>
        <v>0</v>
      </c>
      <c r="P192" s="95" t="str">
        <f t="shared" si="76"/>
        <v>0</v>
      </c>
      <c r="Q192" s="95">
        <f>IF(AND(G192=T$8,LEN(G192)&gt;1),1,0)</f>
        <v>0</v>
      </c>
      <c r="R192" s="97">
        <f>Doubles!G$8</f>
        <v>7</v>
      </c>
      <c r="S192" s="95">
        <f>IF(AND(H192=H$8,LEN(H192)&gt;1,Q192=1),1,0)</f>
        <v>0</v>
      </c>
      <c r="T192" s="105">
        <f>SUM(Q212:Q235)</f>
        <v>0</v>
      </c>
      <c r="U192" s="97">
        <f>SUM(S212:S235)</f>
        <v>0</v>
      </c>
      <c r="V192" s="97">
        <f>VLOOKUP(7,R186:S209,2,0)</f>
        <v>0</v>
      </c>
      <c r="W192" s="95" t="str">
        <f t="shared" si="77"/>
        <v/>
      </c>
      <c r="X192" s="95">
        <f>IF(F$8=0,IF(AND(G166=G218,NOT(G140=G166),NOT(G192=G218),LEN(W140)&gt;0),2,IF(LEN(W140)=0,0,1)),0)</f>
        <v>0</v>
      </c>
      <c r="AC192" s="95" t="str">
        <f>IF(AND(LEN(W192)&gt;0,F$8=0),IF(X192=2,W192&amp;" +2, ",W192&amp;", "),"")</f>
        <v/>
      </c>
    </row>
    <row r="193" spans="1:29">
      <c r="A193" s="95">
        <v>8</v>
      </c>
      <c r="B193" s="95">
        <f>IF(Doubles!G71="",0,Doubles!G71)</f>
        <v>0</v>
      </c>
      <c r="C193" s="99" t="str">
        <f>IF(OR(LEFT(B193,LEN(B$9))=B$9,LEFT(B193,LEN(C$9))=C$9,LEN(B193)&lt;2),"",IF(B193="no pick","","Wrong pick"))</f>
        <v/>
      </c>
      <c r="D193" s="95">
        <f t="shared" si="68"/>
        <v>0</v>
      </c>
      <c r="E193" s="95">
        <f t="shared" si="69"/>
        <v>1</v>
      </c>
      <c r="G193" s="95" t="str">
        <f>IF(B193=0,"",IF(B193="no pick","No Pick",IF(LEFT(B193,LEN(B$9))=B$9,B$9,C$9)))</f>
        <v/>
      </c>
      <c r="H193" s="95" t="str">
        <f t="shared" si="70"/>
        <v>0-0</v>
      </c>
      <c r="I193" s="95" t="str">
        <f>IF(AND(J193=$I$2,F$9=0,NOT(E$9="")),IF(OR(AND(Y193=AA193,Z193=AB193),AND(Y193=AB193,Z193=AA193)),"",IF(AND(Y193=Z193,AA193=AB193),Y193&amp;" +2 v. "&amp;AA193&amp;" +2, ",IF(Y193=AA193,Z193&amp;" v. "&amp;AB193&amp;", ",IF(Z193=AB193,Y193&amp;" v. "&amp;AA193&amp;", ",IF(Y193=AB193,Z193&amp;" v. "&amp;AA193&amp;", ",IF(Z193=AA193,Y193&amp;" v. "&amp;AB193&amp;", ",Y193&amp;" v. "&amp;AA193&amp;", "&amp;Z193&amp;" v. "&amp;AB193&amp;", ")))))),"")</f>
        <v/>
      </c>
      <c r="J193" s="97">
        <f>D$9</f>
        <v>1</v>
      </c>
      <c r="K193" s="95" t="str">
        <f t="shared" si="71"/>
        <v>SR</v>
      </c>
      <c r="L193" s="95" t="str">
        <f t="shared" si="72"/>
        <v>0</v>
      </c>
      <c r="M193" s="95" t="str">
        <f t="shared" si="73"/>
        <v>0</v>
      </c>
      <c r="N193" s="95" t="str">
        <f t="shared" si="74"/>
        <v>0</v>
      </c>
      <c r="O193" s="95" t="str">
        <f t="shared" si="75"/>
        <v>0</v>
      </c>
      <c r="P193" s="95" t="str">
        <f t="shared" si="76"/>
        <v>0</v>
      </c>
      <c r="Q193" s="95">
        <f>IF(AND(G193=T$9,LEN(G193)&gt;1),1,0)</f>
        <v>0</v>
      </c>
      <c r="R193" s="97">
        <f>Doubles!G$9</f>
        <v>8</v>
      </c>
      <c r="S193" s="95">
        <f>IF(AND(H193=H$9,LEN(H193)&gt;1,Q193=1),1,0)</f>
        <v>0</v>
      </c>
      <c r="V193" s="97">
        <f>VLOOKUP(8,R186:S209,2,0)</f>
        <v>0</v>
      </c>
      <c r="W193" s="95" t="str">
        <f t="shared" si="77"/>
        <v/>
      </c>
      <c r="X193" s="95">
        <f>IF(F$9=0,IF(AND(G167=G219,NOT(G141=G167),NOT(G193=G219),LEN(W141)&gt;0),2,IF(LEN(W141)=0,0,1)),0)</f>
        <v>0</v>
      </c>
      <c r="AC193" s="95" t="str">
        <f>IF(AND(LEN(W193)&gt;0,F$9=0),IF(X193=2,W193&amp;" +2, ",W193&amp;", "),"")</f>
        <v/>
      </c>
    </row>
    <row r="194" spans="1:29">
      <c r="A194" s="95">
        <v>9</v>
      </c>
      <c r="B194" s="95">
        <f>IF(Doubles!G72="",0,Doubles!G72)</f>
        <v>0</v>
      </c>
      <c r="C194" s="99" t="str">
        <f>IF(OR(LEFT(B194,LEN(B$10))=B$10,LEFT(B194,LEN(C$10))=C$10,LEN(B194)&lt;2),"",IF(B194="no pick","","Wrong pick"))</f>
        <v/>
      </c>
      <c r="D194" s="95">
        <f t="shared" si="68"/>
        <v>0</v>
      </c>
      <c r="E194" s="95">
        <f t="shared" si="69"/>
        <v>1</v>
      </c>
      <c r="G194" s="95" t="str">
        <f>IF(B194=0,"",IF(B194="no pick","No Pick",IF(LEFT(B194,LEN(B$10))=B$10,B$10,C$10)))</f>
        <v/>
      </c>
      <c r="H194" s="95" t="str">
        <f t="shared" si="70"/>
        <v>0-0</v>
      </c>
      <c r="I194" s="95" t="str">
        <f>IF(AND(J194=$I$2,F$10=0,NOT(E$10="")),IF(OR(AND(Y194=AA194,Z194=AB194),AND(Y194=AB194,Z194=AA194)),"",IF(AND(Y194=Z194,AA194=AB194),Y194&amp;" +2 v. "&amp;AA194&amp;" +2, ",IF(Y194=AA194,Z194&amp;" v. "&amp;AB194&amp;", ",IF(Z194=AB194,Y194&amp;" v. "&amp;AA194&amp;", ",IF(Y194=AB194,Z194&amp;" v. "&amp;AA194&amp;", ",IF(Z194=AA194,Y194&amp;" v. "&amp;AB194&amp;", ",Y194&amp;" v. "&amp;AA194&amp;", "&amp;Z194&amp;" v. "&amp;AB194&amp;", ")))))),"")</f>
        <v/>
      </c>
      <c r="J194" s="97">
        <f>D$10</f>
        <v>1</v>
      </c>
      <c r="K194" s="95" t="str">
        <f t="shared" si="71"/>
        <v>SR</v>
      </c>
      <c r="L194" s="95" t="str">
        <f t="shared" si="72"/>
        <v>0</v>
      </c>
      <c r="M194" s="95" t="str">
        <f t="shared" si="73"/>
        <v>0</v>
      </c>
      <c r="N194" s="95" t="str">
        <f t="shared" si="74"/>
        <v>0</v>
      </c>
      <c r="O194" s="95" t="str">
        <f t="shared" si="75"/>
        <v>0</v>
      </c>
      <c r="P194" s="95" t="str">
        <f t="shared" si="76"/>
        <v>0</v>
      </c>
      <c r="Q194" s="95">
        <f>IF(AND(G194=T$10,LEN(G194)&gt;1),1,0)</f>
        <v>0</v>
      </c>
      <c r="R194" s="97">
        <f>Doubles!G$10</f>
        <v>9</v>
      </c>
      <c r="S194" s="95">
        <f>IF(AND(H194=H$10,LEN(H194)&gt;1,Q194=1),1,0)</f>
        <v>0</v>
      </c>
      <c r="T194" s="97" t="e">
        <f>VLOOKUP("Winner",T212:U228,2,0)</f>
        <v>#N/A</v>
      </c>
      <c r="U194" s="95" t="e">
        <f>VLOOKUP(T194,U212:W228,3,0)</f>
        <v>#N/A</v>
      </c>
      <c r="V194" s="97">
        <f>VLOOKUP(9,R186:S209,2,0)</f>
        <v>0</v>
      </c>
      <c r="W194" s="95" t="str">
        <f t="shared" si="77"/>
        <v/>
      </c>
      <c r="X194" s="95">
        <f>IF(F$10=0,IF(AND(G168=G220,NOT(G142=G168),NOT(G194=G220),LEN(W142)&gt;0),2,IF(LEN(W142)=0,0,1)),0)</f>
        <v>0</v>
      </c>
      <c r="AC194" s="95" t="str">
        <f>IF(AND(LEN(W194)&gt;0,F$10=0),IF(X194=2,W194&amp;" +2, ",W194&amp;", "),"")</f>
        <v/>
      </c>
    </row>
    <row r="195" spans="1:29">
      <c r="A195" s="95">
        <v>10</v>
      </c>
      <c r="B195" s="95">
        <f>IF(Doubles!G73="",0,Doubles!G73)</f>
        <v>0</v>
      </c>
      <c r="C195" s="99" t="str">
        <f>IF(OR(LEFT(B195,LEN(B$11))=B$11,LEFT(B195,LEN(C$11))=C$11,LEN(B195)&lt;2),"",IF(B195="no pick","","Wrong pick"))</f>
        <v/>
      </c>
      <c r="D195" s="95">
        <f t="shared" si="68"/>
        <v>0</v>
      </c>
      <c r="E195" s="95">
        <f t="shared" si="69"/>
        <v>1</v>
      </c>
      <c r="G195" s="95" t="str">
        <f>IF(B195=0,"",IF(B195="no pick","No Pick",IF(LEFT(B195,LEN(B$11))=B$11,B$11,C$11)))</f>
        <v/>
      </c>
      <c r="H195" s="95" t="str">
        <f t="shared" si="70"/>
        <v>0-0</v>
      </c>
      <c r="I195" s="95" t="str">
        <f>IF(AND(J195=$I$2,F$11=0,NOT(E$11="")),IF(OR(AND(Y195=AA195,Z195=AB195),AND(Y195=AB195,Z195=AA195)),"",IF(AND(Y195=Z195,AA195=AB195),Y195&amp;" +2 v. "&amp;AA195&amp;" +2, ",IF(Y195=AA195,Z195&amp;" v. "&amp;AB195&amp;", ",IF(Z195=AB195,Y195&amp;" v. "&amp;AA195&amp;", ",IF(Y195=AB195,Z195&amp;" v. "&amp;AA195&amp;", ",IF(Z195=AA195,Y195&amp;" v. "&amp;AB195&amp;", ",Y195&amp;" v. "&amp;AA195&amp;", "&amp;Z195&amp;" v. "&amp;AB195&amp;", ")))))),"")</f>
        <v/>
      </c>
      <c r="J195" s="97">
        <f>D$11</f>
        <v>1</v>
      </c>
      <c r="K195" s="95" t="str">
        <f t="shared" si="71"/>
        <v>SR</v>
      </c>
      <c r="L195" s="95" t="str">
        <f t="shared" si="72"/>
        <v>0</v>
      </c>
      <c r="M195" s="95" t="str">
        <f t="shared" si="73"/>
        <v>0</v>
      </c>
      <c r="N195" s="95" t="str">
        <f t="shared" si="74"/>
        <v>0</v>
      </c>
      <c r="O195" s="95" t="str">
        <f t="shared" si="75"/>
        <v>0</v>
      </c>
      <c r="P195" s="95" t="str">
        <f t="shared" si="76"/>
        <v>0</v>
      </c>
      <c r="Q195" s="95">
        <f>IF(AND(G195=T$11,LEN(G195)&gt;1),1,0)</f>
        <v>0</v>
      </c>
      <c r="R195" s="97">
        <f>Doubles!G$11</f>
        <v>10</v>
      </c>
      <c r="S195" s="95">
        <f>IF(AND(H195=H$11,LEN(H195)&gt;1,Q195=1),1,0)</f>
        <v>0</v>
      </c>
      <c r="V195" s="97">
        <f>VLOOKUP(10,R186:S209,2,0)</f>
        <v>0</v>
      </c>
      <c r="W195" s="95" t="str">
        <f t="shared" si="77"/>
        <v/>
      </c>
      <c r="X195" s="95">
        <f>IF(F$11=0,IF(AND(G169=G221,NOT(G143=G169),NOT(G195=G221),LEN(W143)&gt;0),2,IF(LEN(W143)=0,0,1)),0)</f>
        <v>0</v>
      </c>
      <c r="AC195" s="95" t="str">
        <f>IF(AND(LEN(W195)&gt;0,F$11=0),IF(X195=2,W195&amp;" +2, ",W195&amp;", "),"")</f>
        <v/>
      </c>
    </row>
    <row r="196" spans="1:29">
      <c r="A196" s="95">
        <v>11</v>
      </c>
      <c r="B196" s="95">
        <f>IF(Doubles!G74="",0,Doubles!G74)</f>
        <v>0</v>
      </c>
      <c r="C196" s="99" t="str">
        <f>IF(OR(LEFT(B196,LEN(B$12))=B$12,LEFT(B196,LEN(C$12))=C$12,LEN(B196)&lt;2),"",IF(B196="no pick","","Wrong pick"))</f>
        <v/>
      </c>
      <c r="D196" s="95">
        <f t="shared" si="68"/>
        <v>0</v>
      </c>
      <c r="E196" s="95">
        <f t="shared" si="69"/>
        <v>1</v>
      </c>
      <c r="G196" s="95" t="str">
        <f>IF(B196=0,"",IF(B196="no pick","No Pick",IF(LEFT(B196,LEN(B$12))=B$12,B$12,C$12)))</f>
        <v/>
      </c>
      <c r="H196" s="95" t="str">
        <f t="shared" si="70"/>
        <v>0-0</v>
      </c>
      <c r="I196" s="95" t="str">
        <f>IF(AND(J196=$I$2,F$12=0,NOT(E$12="")),IF(OR(AND(Y196=AA196,Z196=AB196),AND(Y196=AB196,Z196=AA196)),"",IF(AND(Y196=Z196,AA196=AB196),Y196&amp;" +2 v. "&amp;AA196&amp;" +2, ",IF(Y196=AA196,Z196&amp;" v. "&amp;AB196&amp;", ",IF(Z196=AB196,Y196&amp;" v. "&amp;AA196&amp;", ",IF(Y196=AB196,Z196&amp;" v. "&amp;AA196&amp;", ",IF(Z196=AA196,Y196&amp;" v. "&amp;AB196&amp;", ",Y196&amp;" v. "&amp;AA196&amp;", "&amp;Z196&amp;" v. "&amp;AB196&amp;", ")))))),"")</f>
        <v/>
      </c>
      <c r="J196" s="97">
        <f>D$12</f>
        <v>1</v>
      </c>
      <c r="K196" s="95" t="str">
        <f t="shared" si="71"/>
        <v>SR</v>
      </c>
      <c r="L196" s="95" t="str">
        <f t="shared" si="72"/>
        <v>0</v>
      </c>
      <c r="M196" s="95" t="str">
        <f t="shared" si="73"/>
        <v>0</v>
      </c>
      <c r="N196" s="95" t="str">
        <f t="shared" si="74"/>
        <v>0</v>
      </c>
      <c r="O196" s="95" t="str">
        <f t="shared" si="75"/>
        <v>0</v>
      </c>
      <c r="P196" s="95" t="str">
        <f t="shared" si="76"/>
        <v>0</v>
      </c>
      <c r="Q196" s="95">
        <f>IF(AND(G196=T$12,LEN(G196)&gt;1),1,0)</f>
        <v>0</v>
      </c>
      <c r="R196" s="97">
        <f>Doubles!G$12</f>
        <v>11</v>
      </c>
      <c r="S196" s="95">
        <f>IF(AND(H196=H$12,LEN(H196)&gt;1,Q196=1),1,0)</f>
        <v>0</v>
      </c>
      <c r="V196" s="97">
        <f>VLOOKUP(11,R186:S209,2,0)</f>
        <v>0</v>
      </c>
      <c r="W196" s="95" t="str">
        <f t="shared" si="77"/>
        <v/>
      </c>
      <c r="X196" s="95">
        <f>IF(F$12=0,IF(AND(G170=G222,NOT(G144=G170),NOT(G196=G222),LEN(W144)&gt;0),2,IF(LEN(W144)=0,0,1)),0)</f>
        <v>0</v>
      </c>
      <c r="AC196" s="95" t="str">
        <f>IF(AND(LEN(W196)&gt;0,F$12=0),IF(X196=2,W196&amp;" +2, ",W196&amp;", "),"")</f>
        <v/>
      </c>
    </row>
    <row r="197" spans="1:29">
      <c r="A197" s="95">
        <v>12</v>
      </c>
      <c r="B197" s="95">
        <f>IF(Doubles!G75="",0,Doubles!G75)</f>
        <v>0</v>
      </c>
      <c r="C197" s="99" t="str">
        <f>IF(OR(LEFT(B197,LEN(B$13))=B$13,LEFT(B197,LEN(C$13))=C$13,LEN(B197)&lt;2),"",IF(B197="no pick","","Wrong pick"))</f>
        <v/>
      </c>
      <c r="D197" s="95">
        <f t="shared" si="68"/>
        <v>0</v>
      </c>
      <c r="E197" s="95">
        <f t="shared" si="69"/>
        <v>1</v>
      </c>
      <c r="G197" s="95" t="str">
        <f>IF(B197=0,"",IF(B197="no pick","No Pick",IF(LEFT(B197,LEN(B$13))=B$13,B$13,C$13)))</f>
        <v/>
      </c>
      <c r="H197" s="95" t="str">
        <f t="shared" si="70"/>
        <v>0-0</v>
      </c>
      <c r="I197" s="95" t="str">
        <f>IF(AND(J197=$I$2,F$13=0,NOT(E$13="")),IF(OR(AND(Y197=AA197,Z197=AB197),AND(Y197=AB197,Z197=AA197)),"",IF(AND(Y197=Z197,AA197=AB197),Y197&amp;" +2 v. "&amp;AA197&amp;" +2, ",IF(Y197=AA197,Z197&amp;" v. "&amp;AB197&amp;", ",IF(Z197=AB197,Y197&amp;" v. "&amp;AA197&amp;", ",IF(Y197=AB197,Z197&amp;" v. "&amp;AA197&amp;", ",IF(Z197=AA197,Y197&amp;" v. "&amp;AB197&amp;", ",Y197&amp;" v. "&amp;AA197&amp;", "&amp;Z197&amp;" v. "&amp;AB197&amp;", ")))))),"")</f>
        <v/>
      </c>
      <c r="J197" s="97">
        <f>D$13</f>
        <v>1</v>
      </c>
      <c r="K197" s="95" t="str">
        <f t="shared" si="71"/>
        <v>SR</v>
      </c>
      <c r="L197" s="95" t="str">
        <f t="shared" si="72"/>
        <v>0</v>
      </c>
      <c r="M197" s="95" t="str">
        <f t="shared" si="73"/>
        <v>0</v>
      </c>
      <c r="N197" s="95" t="str">
        <f t="shared" si="74"/>
        <v>0</v>
      </c>
      <c r="O197" s="95" t="str">
        <f t="shared" si="75"/>
        <v>0</v>
      </c>
      <c r="P197" s="95" t="str">
        <f t="shared" si="76"/>
        <v>0</v>
      </c>
      <c r="Q197" s="95">
        <f>IF(AND(G197=T$13,LEN(G197)&gt;1),1,0)</f>
        <v>0</v>
      </c>
      <c r="R197" s="97">
        <f>Doubles!G$13</f>
        <v>12</v>
      </c>
      <c r="S197" s="95">
        <f>IF(AND(H197=H$13,LEN(H197)&gt;1,Q197=1),1,0)</f>
        <v>0</v>
      </c>
      <c r="V197" s="97">
        <f>VLOOKUP(12,R186:S209,2,0)</f>
        <v>0</v>
      </c>
      <c r="W197" s="95" t="str">
        <f t="shared" si="77"/>
        <v/>
      </c>
      <c r="X197" s="95">
        <f>IF(F$13=0,IF(AND(G171=G223,NOT(G145=G171),NOT(G197=G223),LEN(W145)&gt;0),2,IF(LEN(W145)=0,0,1)),0)</f>
        <v>0</v>
      </c>
      <c r="AC197" s="95" t="str">
        <f>IF(AND(LEN(W197)&gt;0,F$13=0),IF(X197=2,W197&amp;" +2, ",W197&amp;", "),"")</f>
        <v/>
      </c>
    </row>
    <row r="198" spans="1:29">
      <c r="A198" s="95">
        <v>13</v>
      </c>
      <c r="B198" s="95">
        <f>IF(Doubles!G76="",0,Doubles!G76)</f>
        <v>0</v>
      </c>
      <c r="C198" s="99" t="str">
        <f>IF(OR(LEFT(B198,LEN(B$14))=B$14,LEFT(B198,LEN(C$14))=C$14,LEN(B198)&lt;2),"",IF(B198="no pick","","Wrong pick"))</f>
        <v/>
      </c>
      <c r="D198" s="95">
        <f t="shared" si="68"/>
        <v>0</v>
      </c>
      <c r="E198" s="95">
        <f t="shared" si="69"/>
        <v>1</v>
      </c>
      <c r="G198" s="95" t="str">
        <f>IF(B198=0,"",IF(B198="no pick","No Pick",IF(LEFT(B198,LEN(B$14))=B$14,B$14,C$14)))</f>
        <v/>
      </c>
      <c r="H198" s="95" t="str">
        <f t="shared" si="70"/>
        <v>0-0</v>
      </c>
      <c r="I198" s="95" t="str">
        <f>IF(AND(J198=$I$2,F$14=0,NOT(E$14="")),IF(OR(AND(Y198=AA198,Z198=AB198),AND(Y198=AB198,Z198=AA198)),"",IF(AND(Y198=Z198,AA198=AB198),Y198&amp;" +2 v. "&amp;AA198&amp;" +2, ",IF(Y198=AA198,Z198&amp;" v. "&amp;AB198&amp;", ",IF(Z198=AB198,Y198&amp;" v. "&amp;AA198&amp;", ",IF(Y198=AB198,Z198&amp;" v. "&amp;AA198&amp;", ",IF(Z198=AA198,Y198&amp;" v. "&amp;AB198&amp;", ",Y198&amp;" v. "&amp;AA198&amp;", "&amp;Z198&amp;" v. "&amp;AB198&amp;", ")))))),"")</f>
        <v/>
      </c>
      <c r="J198" s="97">
        <f>D$14</f>
        <v>1</v>
      </c>
      <c r="K198" s="95" t="str">
        <f t="shared" si="71"/>
        <v>SR</v>
      </c>
      <c r="L198" s="95" t="str">
        <f t="shared" si="72"/>
        <v>0</v>
      </c>
      <c r="M198" s="95" t="str">
        <f t="shared" si="73"/>
        <v>0</v>
      </c>
      <c r="N198" s="95" t="str">
        <f t="shared" si="74"/>
        <v>0</v>
      </c>
      <c r="O198" s="95" t="str">
        <f t="shared" si="75"/>
        <v>0</v>
      </c>
      <c r="P198" s="95" t="str">
        <f t="shared" si="76"/>
        <v>0</v>
      </c>
      <c r="Q198" s="95">
        <f>IF(AND(G198=T$14,LEN(G198)&gt;1),1,0)</f>
        <v>0</v>
      </c>
      <c r="R198" s="97">
        <f>Doubles!G$14</f>
        <v>13</v>
      </c>
      <c r="S198" s="95">
        <f>IF(AND(H198=H$14,LEN(H198)&gt;1,Q198=1),1,0)</f>
        <v>0</v>
      </c>
      <c r="V198" s="97">
        <f>VLOOKUP(13,R186:S209,2,0)</f>
        <v>0</v>
      </c>
      <c r="W198" s="95" t="str">
        <f t="shared" si="77"/>
        <v/>
      </c>
      <c r="X198" s="95">
        <f>IF(F$14=0,IF(AND(G172=G224,NOT(G146=G172),NOT(G198=G224),LEN(W146)&gt;0),2,IF(LEN(W146)=0,0,1)),0)</f>
        <v>0</v>
      </c>
      <c r="AC198" s="95" t="str">
        <f>IF(AND(LEN(W198)&gt;0,F$14=0),IF(X198=2,W198&amp;" +2, ",W198&amp;", "),"")</f>
        <v/>
      </c>
    </row>
    <row r="199" spans="1:29">
      <c r="A199" s="95">
        <v>14</v>
      </c>
      <c r="B199" s="95">
        <f>IF(Doubles!G77="",0,Doubles!G77)</f>
        <v>0</v>
      </c>
      <c r="C199" s="99" t="str">
        <f>IF(OR(LEFT(B199,LEN(B$15))=B$15,LEFT(B199,LEN(C$15))=C$15,LEN(B199)&lt;2),"",IF(B199="no pick","","Wrong pick"))</f>
        <v/>
      </c>
      <c r="D199" s="95">
        <f t="shared" si="68"/>
        <v>0</v>
      </c>
      <c r="E199" s="95">
        <f t="shared" si="69"/>
        <v>1</v>
      </c>
      <c r="G199" s="95" t="str">
        <f>IF(B199=0,"",IF(B199="no pick","No Pick",IF(LEFT(B199,LEN(B$15))=B$15,B$15,C$15)))</f>
        <v/>
      </c>
      <c r="H199" s="95" t="str">
        <f t="shared" si="70"/>
        <v>0-0</v>
      </c>
      <c r="I199" s="95" t="str">
        <f>IF(AND(J199=$I$2,F$15=0,NOT(E$15="")),IF(OR(AND(Y199=AA199,Z199=AB199),AND(Y199=AB199,Z199=AA199)),"",IF(AND(Y199=Z199,AA199=AB199),Y199&amp;" +2 v. "&amp;AA199&amp;" +2, ",IF(Y199=AA199,Z199&amp;" v. "&amp;AB199&amp;", ",IF(Z199=AB199,Y199&amp;" v. "&amp;AA199&amp;", ",IF(Y199=AB199,Z199&amp;" v. "&amp;AA199&amp;", ",IF(Z199=AA199,Y199&amp;" v. "&amp;AB199&amp;", ",Y199&amp;" v. "&amp;AA199&amp;", "&amp;Z199&amp;" v. "&amp;AB199&amp;", ")))))),"")</f>
        <v/>
      </c>
      <c r="J199" s="97">
        <f>D$15</f>
        <v>1</v>
      </c>
      <c r="K199" s="95" t="str">
        <f t="shared" si="71"/>
        <v>SR</v>
      </c>
      <c r="L199" s="95" t="str">
        <f t="shared" si="72"/>
        <v>0</v>
      </c>
      <c r="M199" s="95" t="str">
        <f t="shared" si="73"/>
        <v>0</v>
      </c>
      <c r="N199" s="95" t="str">
        <f t="shared" si="74"/>
        <v>0</v>
      </c>
      <c r="O199" s="95" t="str">
        <f t="shared" si="75"/>
        <v>0</v>
      </c>
      <c r="P199" s="95" t="str">
        <f t="shared" si="76"/>
        <v>0</v>
      </c>
      <c r="Q199" s="95">
        <f>IF(AND(G199=T$15,LEN(G199)&gt;1),1,0)</f>
        <v>0</v>
      </c>
      <c r="R199" s="97">
        <f>Doubles!G$15</f>
        <v>14</v>
      </c>
      <c r="S199" s="95">
        <f>IF(AND(H199=H$15,LEN(H199)&gt;1,Q199=1),1,0)</f>
        <v>0</v>
      </c>
      <c r="V199" s="97">
        <f>VLOOKUP(14,R186:S209,2,0)</f>
        <v>0</v>
      </c>
      <c r="W199" s="95" t="str">
        <f t="shared" si="77"/>
        <v/>
      </c>
      <c r="X199" s="95">
        <f>IF(F$15=0,IF(AND(G173=G225,NOT(G147=G173),NOT(G199=G225),LEN(W147)&gt;0),2,IF(LEN(W147)=0,0,1)),0)</f>
        <v>0</v>
      </c>
      <c r="AC199" s="95" t="str">
        <f>IF(AND(LEN(W199)&gt;0,F$15=0),IF(X199=2,W199&amp;" +2, ",W199&amp;", "),"")</f>
        <v/>
      </c>
    </row>
    <row r="200" spans="1:29">
      <c r="A200" s="95">
        <v>15</v>
      </c>
      <c r="B200" s="95">
        <f>IF(Doubles!G78="",0,Doubles!G78)</f>
        <v>0</v>
      </c>
      <c r="C200" s="99" t="str">
        <f>IF(OR(LEFT(B200,LEN(B$16))=B$16,LEFT(B200,LEN(C$16))=C$16,LEN(B200)&lt;2),"",IF(B200="no pick","","Wrong pick"))</f>
        <v/>
      </c>
      <c r="D200" s="95">
        <f t="shared" si="68"/>
        <v>0</v>
      </c>
      <c r="E200" s="95">
        <f t="shared" si="69"/>
        <v>1</v>
      </c>
      <c r="G200" s="95" t="str">
        <f>IF(B200=0,"",IF(B200="no pick","No Pick",IF(LEFT(B200,LEN(B$16))=B$16,B$16,C$16)))</f>
        <v/>
      </c>
      <c r="H200" s="95" t="str">
        <f t="shared" si="70"/>
        <v>0-0</v>
      </c>
      <c r="I200" s="95" t="str">
        <f>IF(AND(J200=$I$2,F$16=0,NOT(E$16="")),IF(OR(AND(Y200=AA200,Z200=AB200),AND(Y200=AB200,Z200=AA200)),"",IF(AND(Y200=Z200,AA200=AB200),Y200&amp;" +2 v. "&amp;AA200&amp;" +2, ",IF(Y200=AA200,Z200&amp;" v. "&amp;AB200&amp;", ",IF(Z200=AB200,Y200&amp;" v. "&amp;AA200&amp;", ",IF(Y200=AB200,Z200&amp;" v. "&amp;AA200&amp;", ",IF(Z200=AA200,Y200&amp;" v. "&amp;AB200&amp;", ",Y200&amp;" v. "&amp;AA200&amp;", "&amp;Z200&amp;" v. "&amp;AB200&amp;", ")))))),"")</f>
        <v/>
      </c>
      <c r="J200" s="97">
        <f>D$16</f>
        <v>1</v>
      </c>
      <c r="K200" s="95" t="str">
        <f t="shared" si="71"/>
        <v>SR</v>
      </c>
      <c r="L200" s="95" t="str">
        <f t="shared" si="72"/>
        <v>0</v>
      </c>
      <c r="M200" s="95" t="str">
        <f t="shared" si="73"/>
        <v>0</v>
      </c>
      <c r="N200" s="95" t="str">
        <f t="shared" si="74"/>
        <v>0</v>
      </c>
      <c r="O200" s="95" t="str">
        <f t="shared" si="75"/>
        <v>0</v>
      </c>
      <c r="P200" s="95" t="str">
        <f t="shared" si="76"/>
        <v>0</v>
      </c>
      <c r="Q200" s="95">
        <f>IF(AND(G200=T$16,LEN(G200)&gt;1),1,0)</f>
        <v>0</v>
      </c>
      <c r="R200" s="97">
        <f>Doubles!G$16</f>
        <v>15</v>
      </c>
      <c r="S200" s="95">
        <f>IF(AND(H200=H$16,LEN(H200)&gt;1,Q200=1),1,0)</f>
        <v>0</v>
      </c>
      <c r="V200" s="97">
        <f>VLOOKUP(15,R186:S209,2,0)</f>
        <v>0</v>
      </c>
      <c r="W200" s="95" t="str">
        <f t="shared" si="77"/>
        <v/>
      </c>
      <c r="X200" s="95">
        <f>IF(F$16=0,IF(AND(G174=G226,NOT(G148=G174),NOT(G200=G226),LEN(W148)&gt;0),2,IF(LEN(W148)=0,0,1)),0)</f>
        <v>0</v>
      </c>
      <c r="AC200" s="95" t="str">
        <f>IF(AND(LEN(W200)&gt;0,F$16=0),IF(X200=2,W200&amp;" +2, ",W200&amp;", "),"")</f>
        <v/>
      </c>
    </row>
    <row r="201" spans="1:29">
      <c r="A201" s="95">
        <v>16</v>
      </c>
      <c r="B201" s="95">
        <f>IF(Doubles!G79="",0,Doubles!G79)</f>
        <v>0</v>
      </c>
      <c r="C201" s="99" t="str">
        <f>IF(OR(LEFT(B201,LEN(B$17))=B$17,LEFT(B201,LEN(C$17))=C$17,LEN(B201)&lt;2),"",IF(B201="no pick","","Wrong pick"))</f>
        <v/>
      </c>
      <c r="D201" s="95">
        <f t="shared" si="68"/>
        <v>0</v>
      </c>
      <c r="E201" s="95">
        <f t="shared" si="69"/>
        <v>1</v>
      </c>
      <c r="G201" s="95" t="str">
        <f>IF(B201=0,"",IF(B201="no pick","No Pick",IF(LEFT(B201,LEN(B$17))=B$17,B$17,C$17)))</f>
        <v/>
      </c>
      <c r="H201" s="95" t="str">
        <f t="shared" si="70"/>
        <v>0-0</v>
      </c>
      <c r="I201" s="95" t="str">
        <f>IF(AND(J201=$I$2,F$17=0,NOT(E$17="")),IF(OR(AND(Y201=AA201,Z201=AB201),AND(Y201=AB201,Z201=AA201)),"",IF(AND(Y201=Z201,AA201=AB201),Y201&amp;" +2 v. "&amp;AA201&amp;" +2, ",IF(Y201=AA201,Z201&amp;" v. "&amp;AB201&amp;", ",IF(Z201=AB201,Y201&amp;" v. "&amp;AA201&amp;", ",IF(Y201=AB201,Z201&amp;" v. "&amp;AA201&amp;", ",IF(Z201=AA201,Y201&amp;" v. "&amp;AB201&amp;", ",Y201&amp;" v. "&amp;AA201&amp;", "&amp;Z201&amp;" v. "&amp;AB201&amp;", ")))))),"")</f>
        <v/>
      </c>
      <c r="J201" s="97">
        <f>D$17</f>
        <v>1</v>
      </c>
      <c r="K201" s="95" t="str">
        <f t="shared" si="71"/>
        <v>SR</v>
      </c>
      <c r="L201" s="95" t="str">
        <f t="shared" si="72"/>
        <v>0</v>
      </c>
      <c r="M201" s="95" t="str">
        <f t="shared" si="73"/>
        <v>0</v>
      </c>
      <c r="N201" s="95" t="str">
        <f t="shared" si="74"/>
        <v>0</v>
      </c>
      <c r="O201" s="95" t="str">
        <f t="shared" si="75"/>
        <v>0</v>
      </c>
      <c r="P201" s="95" t="str">
        <f t="shared" si="76"/>
        <v>0</v>
      </c>
      <c r="Q201" s="95">
        <f>IF(AND(G201=T$17,LEN(G201)&gt;1),1,0)</f>
        <v>0</v>
      </c>
      <c r="R201" s="97">
        <f>Doubles!G$17</f>
        <v>16</v>
      </c>
      <c r="S201" s="95">
        <f>IF(AND(H201=H$17,LEN(H201)&gt;1,Q201=1),1,0)</f>
        <v>0</v>
      </c>
      <c r="V201" s="97">
        <f>VLOOKUP(16,R186:S209,2,0)</f>
        <v>0</v>
      </c>
      <c r="W201" s="95" t="str">
        <f t="shared" si="77"/>
        <v/>
      </c>
      <c r="X201" s="95">
        <f>IF(F$17=0,IF(AND(G175=G227,NOT(G149=G175),NOT(G201=G227),LEN(W149)&gt;0),2,IF(LEN(W149)=0,0,1)),0)</f>
        <v>0</v>
      </c>
      <c r="AC201" s="95" t="str">
        <f>IF(AND(LEN(W201)&gt;0,F$17=0),IF(X201=2,W201&amp;" +2, ",W201&amp;", "),"")</f>
        <v/>
      </c>
    </row>
    <row r="202" spans="1:29">
      <c r="A202" s="95">
        <v>17</v>
      </c>
      <c r="B202" s="95">
        <f>IF(Doubles!G80="",0,Doubles!G80)</f>
        <v>0</v>
      </c>
      <c r="C202" s="99" t="str">
        <f>IF(OR(LEFT(B202,LEN(B$18))=B$18,LEFT(B202,LEN(C$18))=C$18,LEN(B202)&lt;2),"",IF(B202="no pick","","Wrong pick"))</f>
        <v/>
      </c>
      <c r="D202" s="95">
        <f t="shared" si="68"/>
        <v>0</v>
      </c>
      <c r="E202" s="95">
        <f t="shared" si="69"/>
        <v>0</v>
      </c>
      <c r="G202" s="95" t="str">
        <f>IF(B202=0,"",IF(B202="no pick","No Pick",IF(LEFT(B202,LEN(B$18))=B$18,B$18,C$18)))</f>
        <v/>
      </c>
      <c r="H202" s="95" t="str">
        <f t="shared" si="70"/>
        <v>0-0</v>
      </c>
      <c r="I202" s="95" t="str">
        <f>IF(AND(J202=$I$2,F$18=0,NOT(E$18="")),IF(OR(AND(Y202=AA202,Z202=AB202),AND(Y202=AB202,Z202=AA202)),"",IF(AND(Y202=Z202,AA202=AB202),Y202&amp;" +2 v. "&amp;AA202&amp;" +2, ",IF(Y202=AA202,Z202&amp;" v. "&amp;AB202&amp;", ",IF(Z202=AB202,Y202&amp;" v. "&amp;AA202&amp;", ",IF(Y202=AB202,Z202&amp;" v. "&amp;AA202&amp;", ",IF(Z202=AA202,Y202&amp;" v. "&amp;AB202&amp;", ",Y202&amp;" v. "&amp;AA202&amp;", "&amp;Z202&amp;" v. "&amp;AB202&amp;", ")))))),"")</f>
        <v/>
      </c>
      <c r="J202" s="95">
        <f>D$18</f>
        <v>0</v>
      </c>
      <c r="K202" s="95" t="str">
        <f t="shared" si="71"/>
        <v>SR</v>
      </c>
      <c r="L202" s="95" t="str">
        <f t="shared" si="72"/>
        <v>0</v>
      </c>
      <c r="M202" s="95" t="str">
        <f t="shared" si="73"/>
        <v>0</v>
      </c>
      <c r="N202" s="95" t="str">
        <f t="shared" si="74"/>
        <v>0</v>
      </c>
      <c r="O202" s="95" t="str">
        <f t="shared" si="75"/>
        <v>0</v>
      </c>
      <c r="P202" s="95" t="str">
        <f t="shared" si="76"/>
        <v>0</v>
      </c>
      <c r="Q202" s="95">
        <f>IF(AND(G202=T$18,LEN(G202)&gt;1),1,0)</f>
        <v>0</v>
      </c>
      <c r="R202" s="97">
        <f>Doubles!G$18</f>
        <v>17</v>
      </c>
      <c r="S202" s="95">
        <f>IF(AND(H202=H$18,LEN(H202)&gt;1,Q202=1),1,0)</f>
        <v>0</v>
      </c>
      <c r="V202" s="95">
        <f>VLOOKUP(17,R186:S209,2,0)</f>
        <v>0</v>
      </c>
      <c r="W202" s="95" t="str">
        <f t="shared" si="77"/>
        <v/>
      </c>
      <c r="X202" s="95">
        <f>IF(F$18=0,IF(AND(G176=G228,NOT(G150=G176),NOT(G202=G228),LEN(W150)&gt;0),2,IF(LEN(W150)=0,0,1)),0)</f>
        <v>0</v>
      </c>
      <c r="AC202" s="95" t="str">
        <f>IF(AND(LEN(W202)&gt;0,F$18=0),IF(X202=2,W202&amp;" +2, ",W202&amp;", "),"")</f>
        <v/>
      </c>
    </row>
    <row r="203" spans="1:29">
      <c r="A203" s="95">
        <v>18</v>
      </c>
      <c r="B203" s="95">
        <f>IF(Doubles!G81="",0,Doubles!G81)</f>
        <v>0</v>
      </c>
      <c r="C203" s="99" t="str">
        <f>IF(OR(LEFT(B203,LEN(B$19))=B$19,LEFT(B203,LEN(C$19))=C$19,LEN(B203)&lt;2),"",IF(B203="no pick","","Wrong pick"))</f>
        <v/>
      </c>
      <c r="D203" s="95">
        <f t="shared" si="68"/>
        <v>0</v>
      </c>
      <c r="E203" s="95">
        <f t="shared" si="69"/>
        <v>0</v>
      </c>
      <c r="G203" s="95" t="str">
        <f>IF(B203=0,"",IF(B203="no pick","No Pick",IF(LEFT(B203,LEN(B$19))=B$19,B$19,C$19)))</f>
        <v/>
      </c>
      <c r="H203" s="95" t="str">
        <f t="shared" si="70"/>
        <v>0-0</v>
      </c>
      <c r="I203" s="95" t="str">
        <f>IF(AND(J203=$I$2,F$19=0,NOT(E$19="")),IF(OR(AND(Y203=AA203,Z203=AB203),AND(Y203=AB203,Z203=AA203)),"",IF(AND(Y203=Z203,AA203=AB203),Y203&amp;" +2 v. "&amp;AA203&amp;" +2, ",IF(Y203=AA203,Z203&amp;" v. "&amp;AB203&amp;", ",IF(Z203=AB203,Y203&amp;" v. "&amp;AA203&amp;", ",IF(Y203=AB203,Z203&amp;" v. "&amp;AA203&amp;", ",IF(Z203=AA203,Y203&amp;" v. "&amp;AB203&amp;", ",Y203&amp;" v. "&amp;AA203&amp;", "&amp;Z203&amp;" v. "&amp;AB203&amp;", ")))))),"")</f>
        <v/>
      </c>
      <c r="J203" s="95">
        <f>D$19</f>
        <v>0</v>
      </c>
      <c r="K203" s="95" t="str">
        <f t="shared" si="71"/>
        <v>SR</v>
      </c>
      <c r="L203" s="95" t="str">
        <f t="shared" si="72"/>
        <v>0</v>
      </c>
      <c r="M203" s="95" t="str">
        <f t="shared" si="73"/>
        <v>0</v>
      </c>
      <c r="N203" s="95" t="str">
        <f t="shared" si="74"/>
        <v>0</v>
      </c>
      <c r="O203" s="95" t="str">
        <f t="shared" si="75"/>
        <v>0</v>
      </c>
      <c r="P203" s="95" t="str">
        <f t="shared" si="76"/>
        <v>0</v>
      </c>
      <c r="Q203" s="95">
        <f>IF(AND(G203=T$19,LEN(G203)&gt;1),1,0)</f>
        <v>0</v>
      </c>
      <c r="R203" s="97">
        <f>Doubles!G$19</f>
        <v>18</v>
      </c>
      <c r="S203" s="95">
        <f>IF(AND(H203=H$19,LEN(H203)&gt;1,Q203=1),1,0)</f>
        <v>0</v>
      </c>
      <c r="V203" s="97">
        <f>VLOOKUP(18,R186:S209,2,0)</f>
        <v>0</v>
      </c>
      <c r="W203" s="95" t="str">
        <f t="shared" si="77"/>
        <v/>
      </c>
      <c r="X203" s="95">
        <f>IF(F$19=0,IF(AND(G177=G229,NOT(G151=G177),NOT(G203=G229),LEN(W151)&gt;0),2,IF(LEN(W151)=0,0,1)),0)</f>
        <v>0</v>
      </c>
      <c r="AC203" s="95" t="str">
        <f>IF(AND(LEN(W203)&gt;0,F$19=0),IF(X203=2,W203&amp;" +2, ",W203&amp;", "),"")</f>
        <v/>
      </c>
    </row>
    <row r="204" spans="1:29">
      <c r="A204" s="95">
        <v>19</v>
      </c>
      <c r="B204" s="95">
        <f>IF(Doubles!G82="",0,Doubles!G82)</f>
        <v>0</v>
      </c>
      <c r="C204" s="99" t="str">
        <f>IF(OR(LEFT(B204,LEN(B$20))=B$20,LEFT(B204,LEN(C$20))=C$20,LEN(B204)&lt;2),"",IF(B204="no pick","","Wrong pick"))</f>
        <v/>
      </c>
      <c r="D204" s="95">
        <f t="shared" si="68"/>
        <v>0</v>
      </c>
      <c r="E204" s="95">
        <f t="shared" si="69"/>
        <v>0</v>
      </c>
      <c r="G204" s="95" t="str">
        <f>IF(B204=0,"",IF(B204="no pick","No Pick",IF(LEFT(B204,LEN(B$20))=B$20,B$20,C$20)))</f>
        <v/>
      </c>
      <c r="H204" s="95" t="str">
        <f t="shared" si="70"/>
        <v>0-0</v>
      </c>
      <c r="I204" s="95" t="str">
        <f>IF(AND(J204=$I$2,F$20=0,NOT(E$20="")),IF(OR(AND(Y204=AA204,Z204=AB204),AND(Y204=AB204,Z204=AA204)),"",IF(AND(Y204=Z204,AA204=AB204),Y204&amp;" +2 v. "&amp;AA204&amp;" +2, ",IF(Y204=AA204,Z204&amp;" v. "&amp;AB204&amp;", ",IF(Z204=AB204,Y204&amp;" v. "&amp;AA204&amp;", ",IF(Y204=AB204,Z204&amp;" v. "&amp;AA204&amp;", ",IF(Z204=AA204,Y204&amp;" v. "&amp;AB204&amp;", ",Y204&amp;" v. "&amp;AA204&amp;", "&amp;Z204&amp;" v. "&amp;AB204&amp;", ")))))),"")</f>
        <v/>
      </c>
      <c r="J204" s="95">
        <f>D$20</f>
        <v>0</v>
      </c>
      <c r="K204" s="95" t="str">
        <f t="shared" si="71"/>
        <v>SR</v>
      </c>
      <c r="L204" s="95" t="str">
        <f t="shared" si="72"/>
        <v>0</v>
      </c>
      <c r="M204" s="95" t="str">
        <f t="shared" si="73"/>
        <v>0</v>
      </c>
      <c r="N204" s="95" t="str">
        <f t="shared" si="74"/>
        <v>0</v>
      </c>
      <c r="O204" s="95" t="str">
        <f t="shared" si="75"/>
        <v>0</v>
      </c>
      <c r="P204" s="95" t="str">
        <f t="shared" si="76"/>
        <v>0</v>
      </c>
      <c r="Q204" s="95">
        <f>IF(AND(G204=T$20,LEN(G204)&gt;1),1,0)</f>
        <v>0</v>
      </c>
      <c r="R204" s="97">
        <f>Doubles!G$20</f>
        <v>19</v>
      </c>
      <c r="S204" s="95">
        <f>IF(AND(H204=H$20,LEN(H204)&gt;1,Q204=1),1,0)</f>
        <v>0</v>
      </c>
      <c r="V204" s="97">
        <f>VLOOKUP(19,R186:S209,2,0)</f>
        <v>0</v>
      </c>
      <c r="W204" s="95" t="str">
        <f t="shared" si="77"/>
        <v/>
      </c>
      <c r="X204" s="95">
        <f>IF(F$20=0,IF(AND(G178=G230,NOT(G152=G178),NOT(G204=G230),LEN(W152)&gt;0),2,IF(LEN(W152)=0,0,1)),0)</f>
        <v>0</v>
      </c>
      <c r="AC204" s="95" t="str">
        <f>IF(AND(LEN(W204)&gt;0,F$20=0),IF(X204=2,W204&amp;" +2, ",W204&amp;", "),"")</f>
        <v/>
      </c>
    </row>
    <row r="205" spans="1:29">
      <c r="A205" s="95">
        <v>20</v>
      </c>
      <c r="B205" s="95">
        <f>IF(Doubles!G83="",0,Doubles!G83)</f>
        <v>0</v>
      </c>
      <c r="C205" s="99" t="str">
        <f>IF(OR(LEFT(B205,LEN(B$21))=B$21,LEFT(B205,LEN(C$21))=C$21,LEN(B205)&lt;2),"",IF(B205="no pick","","Wrong pick"))</f>
        <v/>
      </c>
      <c r="D205" s="95">
        <f t="shared" si="68"/>
        <v>0</v>
      </c>
      <c r="E205" s="95">
        <f t="shared" si="69"/>
        <v>0</v>
      </c>
      <c r="G205" s="95" t="str">
        <f>IF(B205=0,"",IF(B205="no pick","No Pick",IF(LEFT(B205,LEN(B$21))=B$21,B$21,C$21)))</f>
        <v/>
      </c>
      <c r="H205" s="95" t="str">
        <f t="shared" si="70"/>
        <v>0-0</v>
      </c>
      <c r="I205" s="95" t="str">
        <f>IF(AND(J205=$I$2,F$21=0,NOT(E$21="")),IF(OR(AND(Y205=AA205,Z205=AB205),AND(Y205=AB205,Z205=AA205)),"",IF(AND(Y205=Z205,AA205=AB205),Y205&amp;" +2 v. "&amp;AA205&amp;" +2, ",IF(Y205=AA205,Z205&amp;" v. "&amp;AB205&amp;", ",IF(Z205=AB205,Y205&amp;" v. "&amp;AA205&amp;", ",IF(Y205=AB205,Z205&amp;" v. "&amp;AA205&amp;", ",IF(Z205=AA205,Y205&amp;" v. "&amp;AB205&amp;", ",Y205&amp;" v. "&amp;AA205&amp;", "&amp;Z205&amp;" v. "&amp;AB205&amp;", ")))))),"")</f>
        <v/>
      </c>
      <c r="J205" s="95">
        <f>D$21</f>
        <v>0</v>
      </c>
      <c r="K205" s="95" t="str">
        <f t="shared" si="71"/>
        <v>SR</v>
      </c>
      <c r="L205" s="95" t="str">
        <f t="shared" si="72"/>
        <v>0</v>
      </c>
      <c r="M205" s="95" t="str">
        <f t="shared" si="73"/>
        <v>0</v>
      </c>
      <c r="N205" s="95" t="str">
        <f t="shared" si="74"/>
        <v>0</v>
      </c>
      <c r="O205" s="95" t="str">
        <f t="shared" si="75"/>
        <v>0</v>
      </c>
      <c r="P205" s="95" t="str">
        <f t="shared" si="76"/>
        <v>0</v>
      </c>
      <c r="Q205" s="95">
        <f>IF(AND(G205=T$21,LEN(G205)&gt;1),1,0)</f>
        <v>0</v>
      </c>
      <c r="R205" s="97">
        <f>Doubles!G$21</f>
        <v>20</v>
      </c>
      <c r="S205" s="95">
        <f>IF(AND(H205=H$21,LEN(H205)&gt;1,Q205=1),1,0)</f>
        <v>0</v>
      </c>
      <c r="V205" s="97">
        <f>VLOOKUP(20,R186:S209,2,0)</f>
        <v>0</v>
      </c>
      <c r="W205" s="95" t="str">
        <f t="shared" si="77"/>
        <v/>
      </c>
      <c r="X205" s="95">
        <f>IF(F$21=0,IF(AND(G179=G231,NOT(G153=G179),NOT(G205=G231),LEN(W153)&gt;0),2,IF(LEN(W153)=0,0,1)),0)</f>
        <v>0</v>
      </c>
      <c r="AC205" s="95" t="str">
        <f>IF(AND(LEN(W205)&gt;0,F$21=0),IF(X205=2,W205&amp;" +2, ",W205&amp;", "),"")</f>
        <v/>
      </c>
    </row>
    <row r="206" spans="1:29">
      <c r="A206" s="95">
        <v>21</v>
      </c>
      <c r="B206" s="95">
        <f>IF(Doubles!G84="",0,Doubles!G84)</f>
        <v>0</v>
      </c>
      <c r="C206" s="99" t="str">
        <f>IF(OR(LEFT(B206,LEN(B$22))=B$22,LEFT(B206,LEN(C$22))=C$22,LEN(B206)&lt;2),"",IF(B206="no pick","","Wrong pick"))</f>
        <v/>
      </c>
      <c r="D206" s="95">
        <f t="shared" si="68"/>
        <v>0</v>
      </c>
      <c r="E206" s="95">
        <f t="shared" si="69"/>
        <v>0</v>
      </c>
      <c r="G206" s="95" t="str">
        <f>IF(B206=0,"",IF(B206="no pick","No Pick",IF(LEFT(B206,LEN(B$22))=B$22,B$22,C$22)))</f>
        <v/>
      </c>
      <c r="H206" s="95" t="str">
        <f t="shared" si="70"/>
        <v>0-0</v>
      </c>
      <c r="I206" s="95" t="str">
        <f>IF(AND(J206=$I$2,F$22=0,NOT(E$22="")),IF(OR(AND(Y206=AA206,Z206=AB206),AND(Y206=AB206,Z206=AA206)),"",IF(AND(Y206=Z206,AA206=AB206),Y206&amp;" +2 v. "&amp;AA206&amp;" +2, ",IF(Y206=AA206,Z206&amp;" v. "&amp;AB206&amp;", ",IF(Z206=AB206,Y206&amp;" v. "&amp;AA206&amp;", ",IF(Y206=AB206,Z206&amp;" v. "&amp;AA206&amp;", ",IF(Z206=AA206,Y206&amp;" v. "&amp;AB206&amp;", ",Y206&amp;" v. "&amp;AA206&amp;", "&amp;Z206&amp;" v. "&amp;AB206&amp;", ")))))),"")</f>
        <v/>
      </c>
      <c r="J206" s="95">
        <f>D$22</f>
        <v>0</v>
      </c>
      <c r="K206" s="95" t="str">
        <f t="shared" si="71"/>
        <v>SR</v>
      </c>
      <c r="L206" s="95" t="str">
        <f t="shared" si="72"/>
        <v>0</v>
      </c>
      <c r="M206" s="95" t="str">
        <f t="shared" si="73"/>
        <v>0</v>
      </c>
      <c r="N206" s="95" t="str">
        <f t="shared" si="74"/>
        <v>0</v>
      </c>
      <c r="O206" s="95" t="str">
        <f t="shared" si="75"/>
        <v>0</v>
      </c>
      <c r="P206" s="95" t="str">
        <f t="shared" si="76"/>
        <v>0</v>
      </c>
      <c r="Q206" s="95">
        <f>IF(AND(G206=T$22,LEN(G206)&gt;1),1,0)</f>
        <v>0</v>
      </c>
      <c r="R206" s="97">
        <f>Doubles!G$22</f>
        <v>21</v>
      </c>
      <c r="S206" s="95">
        <f>IF(AND(H206=H$22,LEN(H206)&gt;1,Q206=1),1,0)</f>
        <v>0</v>
      </c>
      <c r="V206" s="97">
        <f>VLOOKUP(21,R186:S209,2,0)</f>
        <v>0</v>
      </c>
      <c r="W206" s="95" t="str">
        <f t="shared" si="77"/>
        <v/>
      </c>
      <c r="X206" s="95">
        <f>IF(F$22=0,IF(AND(G180=G232,NOT(G154=G180),NOT(G206=G232),LEN(W154)&gt;0),2,IF(LEN(W154)=0,0,1)),0)</f>
        <v>0</v>
      </c>
      <c r="AC206" s="95" t="str">
        <f>IF(AND(LEN(W206)&gt;0,F$22=0),IF(X206=2,W206&amp;" +2, ",W206&amp;", "),"")</f>
        <v/>
      </c>
    </row>
    <row r="207" spans="1:29">
      <c r="A207" s="95">
        <v>22</v>
      </c>
      <c r="B207" s="95">
        <f>IF(Doubles!G85="",0,Doubles!G85)</f>
        <v>0</v>
      </c>
      <c r="C207" s="99" t="str">
        <f>IF(OR(LEFT(B207,LEN(B$23))=B$23,LEFT(B207,LEN(C$23))=C$23,LEN(B207)&lt;2),"",IF(B207="no pick","","Wrong pick"))</f>
        <v/>
      </c>
      <c r="D207" s="95">
        <f t="shared" si="68"/>
        <v>0</v>
      </c>
      <c r="E207" s="95">
        <f t="shared" si="69"/>
        <v>0</v>
      </c>
      <c r="G207" s="95" t="str">
        <f>IF(B207=0,"",IF(B207="no pick","No Pick",IF(LEFT(B207,LEN(B$23))=B$23,B$23,C$23)))</f>
        <v/>
      </c>
      <c r="H207" s="95" t="str">
        <f t="shared" si="70"/>
        <v>0-0</v>
      </c>
      <c r="I207" s="95" t="str">
        <f>IF(AND(J207=$I$2,F$23=0,NOT(E$23="")),IF(OR(AND(Y207=AA207,Z207=AB207),AND(Y207=AB207,Z207=AA207)),"",IF(AND(Y207=Z207,AA207=AB207),Y207&amp;" +2 v. "&amp;AA207&amp;" +2, ",IF(Y207=AA207,Z207&amp;" v. "&amp;AB207&amp;", ",IF(Z207=AB207,Y207&amp;" v. "&amp;AA207&amp;", ",IF(Y207=AB207,Z207&amp;" v. "&amp;AA207&amp;", ",IF(Z207=AA207,Y207&amp;" v. "&amp;AB207&amp;", ",Y207&amp;" v. "&amp;AA207&amp;", "&amp;Z207&amp;" v. "&amp;AB207&amp;", ")))))),"")</f>
        <v/>
      </c>
      <c r="J207" s="95">
        <f>D$23</f>
        <v>0</v>
      </c>
      <c r="K207" s="95" t="str">
        <f t="shared" si="71"/>
        <v>SR</v>
      </c>
      <c r="L207" s="95" t="str">
        <f t="shared" si="72"/>
        <v>0</v>
      </c>
      <c r="M207" s="95" t="str">
        <f t="shared" si="73"/>
        <v>0</v>
      </c>
      <c r="N207" s="95" t="str">
        <f t="shared" si="74"/>
        <v>0</v>
      </c>
      <c r="O207" s="95" t="str">
        <f t="shared" si="75"/>
        <v>0</v>
      </c>
      <c r="P207" s="95" t="str">
        <f t="shared" si="76"/>
        <v>0</v>
      </c>
      <c r="Q207" s="95">
        <f>IF(AND(G207=T$23,LEN(G207)&gt;1),1,0)</f>
        <v>0</v>
      </c>
      <c r="R207" s="97">
        <f>Doubles!G$23</f>
        <v>22</v>
      </c>
      <c r="S207" s="95">
        <f>IF(AND(H207=H$23,LEN(H207)&gt;1,Q207=1),1,0)</f>
        <v>0</v>
      </c>
      <c r="V207" s="97">
        <f>VLOOKUP(22,R186:S209,2,0)</f>
        <v>0</v>
      </c>
      <c r="W207" s="95" t="str">
        <f t="shared" si="77"/>
        <v/>
      </c>
      <c r="X207" s="95">
        <f>IF(F$23=0,IF(AND(G181=G233,NOT(G155=G181),NOT(G207=G233),LEN(W155)&gt;0),2,IF(LEN(W155)=0,0,1)),0)</f>
        <v>0</v>
      </c>
      <c r="AC207" s="95" t="str">
        <f>IF(AND(LEN(W207)&gt;0,F$23=0),IF(X207=2,W207&amp;" +2, ",W207&amp;", "),"")</f>
        <v/>
      </c>
    </row>
    <row r="208" spans="1:29">
      <c r="A208" s="95">
        <v>23</v>
      </c>
      <c r="B208" s="95">
        <f>IF(Doubles!G86="",0,Doubles!G86)</f>
        <v>0</v>
      </c>
      <c r="C208" s="99" t="str">
        <f>IF(OR(LEFT(B208,LEN(B$24))=B$24,LEFT(B208,LEN(C$24))=C$24,LEN(B208)&lt;2),"",IF(B208="no pick","","Wrong pick"))</f>
        <v/>
      </c>
      <c r="D208" s="95">
        <f t="shared" si="68"/>
        <v>0</v>
      </c>
      <c r="E208" s="95">
        <f t="shared" si="69"/>
        <v>0</v>
      </c>
      <c r="G208" s="95" t="str">
        <f>IF(B208=0,"",IF(B208="no pick","No Pick",IF(LEFT(B208,LEN(B$24))=B$24,B$24,C$24)))</f>
        <v/>
      </c>
      <c r="H208" s="95" t="str">
        <f t="shared" si="70"/>
        <v>0-0</v>
      </c>
      <c r="I208" s="95" t="str">
        <f>IF(AND(J208=$I$2,F$24=0,NOT(E$24="")),IF(OR(AND(Y208=AA208,Z208=AB208),AND(Y208=AB208,Z208=AA208)),"",IF(AND(Y208=Z208,AA208=AB208),Y208&amp;" +2 v. "&amp;AA208&amp;" +2, ",IF(Y208=AA208,Z208&amp;" v. "&amp;AB208&amp;", ",IF(Z208=AB208,Y208&amp;" v. "&amp;AA208&amp;", ",IF(Y208=AB208,Z208&amp;" v. "&amp;AA208&amp;", ",IF(Z208=AA208,Y208&amp;" v. "&amp;AB208&amp;", ",Y208&amp;" v. "&amp;AA208&amp;", "&amp;Z208&amp;" v. "&amp;AB208&amp;", ")))))),"")</f>
        <v/>
      </c>
      <c r="J208" s="95">
        <f>D$24</f>
        <v>0</v>
      </c>
      <c r="K208" s="95" t="str">
        <f t="shared" si="71"/>
        <v>SR</v>
      </c>
      <c r="L208" s="95" t="str">
        <f t="shared" si="72"/>
        <v>0</v>
      </c>
      <c r="M208" s="95" t="str">
        <f t="shared" si="73"/>
        <v>0</v>
      </c>
      <c r="N208" s="95" t="str">
        <f t="shared" si="74"/>
        <v>0</v>
      </c>
      <c r="O208" s="95" t="str">
        <f t="shared" si="75"/>
        <v>0</v>
      </c>
      <c r="P208" s="95" t="str">
        <f t="shared" si="76"/>
        <v>0</v>
      </c>
      <c r="Q208" s="95">
        <f>IF(AND(G208=T$24,LEN(G208)&gt;1),1,0)</f>
        <v>0</v>
      </c>
      <c r="R208" s="97">
        <f>Doubles!G$24</f>
        <v>23</v>
      </c>
      <c r="S208" s="95">
        <f>IF(AND(H208=H$24,LEN(H208)&gt;1,Q208=1),1,0)</f>
        <v>0</v>
      </c>
      <c r="V208" s="97">
        <f>VLOOKUP(23,R186:S209,2,0)</f>
        <v>0</v>
      </c>
      <c r="W208" s="95" t="str">
        <f t="shared" si="77"/>
        <v/>
      </c>
      <c r="X208" s="95">
        <f>IF(F$24=0,IF(AND(G182=G234,NOT(G156=G182),NOT(G208=G234),LEN(W156)&gt;0),2,IF(LEN(W156)=0,0,1)),0)</f>
        <v>0</v>
      </c>
      <c r="AC208" s="95" t="str">
        <f>IF(AND(LEN(W208)&gt;0,F$24=0),IF(X208=2,W208&amp;" +2, ",W208&amp;", "),"")</f>
        <v/>
      </c>
    </row>
    <row r="209" spans="1:29">
      <c r="A209" s="95">
        <v>24</v>
      </c>
      <c r="B209" s="95">
        <f>IF(Doubles!G87="",0,Doubles!G87)</f>
        <v>0</v>
      </c>
      <c r="C209" s="99" t="str">
        <f>IF(OR(LEFT(B209,LEN(B$25))=B$25,LEFT(B209,LEN(C$25))=C$25,LEN(B209)&lt;2),"",IF(B209="no pick","","Wrong pick"))</f>
        <v/>
      </c>
      <c r="D209" s="95">
        <f t="shared" si="68"/>
        <v>0</v>
      </c>
      <c r="E209" s="95">
        <f t="shared" si="69"/>
        <v>0</v>
      </c>
      <c r="G209" s="95" t="str">
        <f>IF(B209=0,"",IF(B209="no pick","No Pick",IF(LEFT(B209,LEN(B$25))=B$25,B$25,C$25)))</f>
        <v/>
      </c>
      <c r="H209" s="95" t="str">
        <f t="shared" si="70"/>
        <v>0-0</v>
      </c>
      <c r="I209" s="95" t="str">
        <f>IF(AND(J209=$I$2,F$25=0,NOT(E$25="")),IF(OR(AND(Y209=AA209,Z209=AB209),AND(Y209=AB209,Z209=AA209)),"",IF(AND(Y209=Z209,AA209=AB209),Y209&amp;" +2 v. "&amp;AA209&amp;" +2, ",IF(Y209=AA209,Z209&amp;" v. "&amp;AB209&amp;", ",IF(Z209=AB209,Y209&amp;" v. "&amp;AA209&amp;", ",IF(Y209=AB209,Z209&amp;" v. "&amp;AA209&amp;", ",IF(Z209=AA209,Y209&amp;" v. "&amp;AB209&amp;", ",Y209&amp;" v. "&amp;AA209&amp;", "&amp;Z209&amp;" v. "&amp;AB209&amp;", ")))))),"")</f>
        <v/>
      </c>
      <c r="J209" s="95">
        <f>D$25</f>
        <v>0</v>
      </c>
      <c r="K209" s="95" t="str">
        <f t="shared" si="71"/>
        <v>SR</v>
      </c>
      <c r="L209" s="95" t="str">
        <f t="shared" si="72"/>
        <v>0</v>
      </c>
      <c r="M209" s="95" t="str">
        <f t="shared" si="73"/>
        <v>0</v>
      </c>
      <c r="N209" s="95" t="str">
        <f t="shared" si="74"/>
        <v>0</v>
      </c>
      <c r="O209" s="95" t="str">
        <f t="shared" si="75"/>
        <v>0</v>
      </c>
      <c r="P209" s="95" t="str">
        <f t="shared" si="76"/>
        <v>0</v>
      </c>
      <c r="Q209" s="95">
        <f>IF(AND(G209=T$25,LEN(G209)&gt;1),1,0)</f>
        <v>0</v>
      </c>
      <c r="R209" s="97">
        <f>Doubles!G$25</f>
        <v>24</v>
      </c>
      <c r="S209" s="95">
        <f>IF(AND(H209=H$25,LEN(H209)&gt;1,Q209=1),1,0)</f>
        <v>0</v>
      </c>
      <c r="V209" s="97">
        <f>VLOOKUP(24,R186:S209,2,0)</f>
        <v>0</v>
      </c>
      <c r="W209" s="95" t="str">
        <f t="shared" si="77"/>
        <v/>
      </c>
      <c r="X209" s="95">
        <f>IF(F$25=0,IF(AND(G183=G235,NOT(G157=G183),NOT(G209=G235),LEN(W157)&gt;0),2,IF(LEN(W157)=0,0,1)),0)</f>
        <v>0</v>
      </c>
      <c r="AC209" s="95" t="str">
        <f>IF(AND(LEN(W209)&gt;0,F$25=0),IF(X209=2,W209&amp;" +2, ",W209&amp;", "),"")</f>
        <v/>
      </c>
    </row>
    <row r="211" spans="1:29">
      <c r="A211" s="95">
        <f>IF(LEN(VLOOKUP(B211,Doubles!$B$2:$D$17,3,0))&gt;0,VLOOKUP(B211,Doubles!$B$2:$D$17,3,0),"")</f>
        <v>4</v>
      </c>
      <c r="B211" s="96" t="str">
        <f>Doubles!I63</f>
        <v>Superior1</v>
      </c>
      <c r="C211" s="96">
        <v>4</v>
      </c>
      <c r="D211" s="95" t="str">
        <f>VLOOKUP(B211,Doubles!$B$2:$F$17,5,0)</f>
        <v>CRO</v>
      </c>
      <c r="J211" s="95" t="s">
        <v>88</v>
      </c>
      <c r="Q211" s="95" t="s">
        <v>121</v>
      </c>
      <c r="S211" s="95" t="s">
        <v>122</v>
      </c>
      <c r="T211" s="95" t="str">
        <f>B211</f>
        <v>Superior1</v>
      </c>
      <c r="V211" s="95" t="s">
        <v>122</v>
      </c>
    </row>
    <row r="212" spans="1:29">
      <c r="A212" s="95">
        <v>1</v>
      </c>
      <c r="B212" s="95">
        <f>IF(Doubles!I64="",0,Doubles!I64)</f>
        <v>0</v>
      </c>
      <c r="C212" s="99" t="str">
        <f>IF(OR(LEFT(B212,LEN(B$2))=B$2,LEFT(B212,LEN(C$2))=C$2,LEN(B212)&lt;2),"",IF(B212="no pick","","Wrong pick"))</f>
        <v/>
      </c>
      <c r="E212" s="95">
        <f t="shared" ref="E212:E235" si="78">IF(AND($I$2=J212,B212=0),1,0)</f>
        <v>1</v>
      </c>
      <c r="F212" s="95" t="str">
        <f>IF(AND(SUM(E212:E235)=$I$4,NOT(B211="Bye")),"Missing picks from "&amp;B211&amp;" ","")</f>
        <v xml:space="preserve">Missing picks from Superior1 </v>
      </c>
      <c r="G212" s="95" t="str">
        <f>IF(B212=0,"",IF(B212="no pick","No Pick",IF(LEFT(B212,LEN(B$2))=B$2,B$2,C$2)))</f>
        <v/>
      </c>
      <c r="H212" s="95" t="str">
        <f t="shared" ref="H212:H235" si="79">IF(L212="","",IF(K212="PTS",IF(LEN(O212)&lt;8,"2-0","2-1"),LEFT(O212,1)&amp;"-"&amp;RIGHT(O212,1)))</f>
        <v>0-0</v>
      </c>
      <c r="J212" s="97">
        <f>D$2</f>
        <v>1</v>
      </c>
      <c r="K212" s="95" t="str">
        <f t="shared" ref="K212:K235" si="80">IF(LEN(L212)&gt;0,IF(LEN(O212)&lt;4,"SR","PTS"),"")</f>
        <v>SR</v>
      </c>
      <c r="L212" s="95" t="str">
        <f t="shared" ref="L212:L235" si="81">TRIM(RIGHT(B212,LEN(B212)-LEN(G212)))</f>
        <v>0</v>
      </c>
      <c r="M212" s="95" t="str">
        <f t="shared" ref="M212:M235" si="82">SUBSTITUTE(L212,"-","")</f>
        <v>0</v>
      </c>
      <c r="N212" s="95" t="str">
        <f t="shared" ref="N212:N235" si="83">SUBSTITUTE(M212,","," ")</f>
        <v>0</v>
      </c>
      <c r="O212" s="95" t="str">
        <f t="shared" ref="O212:O235" si="84">IF(AND(LEN(TRIM(SUBSTITUTE(P212,"/","")))&gt;6,OR(LEFT(TRIM(SUBSTITUTE(P212,"/","")),2)="20",LEFT(TRIM(SUBSTITUTE(P212,"/","")),2)="21")),RIGHT(TRIM(SUBSTITUTE(P212,"/","")),LEN(TRIM(SUBSTITUTE(P212,"/","")))-3),TRIM(SUBSTITUTE(P212,"/","")))</f>
        <v>0</v>
      </c>
      <c r="P212" s="95" t="str">
        <f t="shared" ref="P212:P235" si="85">SUBSTITUTE(N212,":","")</f>
        <v>0</v>
      </c>
      <c r="Q212" s="95">
        <f>IF(AND(G212=T$2,LEN(G212)&gt;1),1,0)</f>
        <v>0</v>
      </c>
      <c r="R212" s="97">
        <f>Doubles!G$2</f>
        <v>1</v>
      </c>
      <c r="S212" s="95">
        <f>IF(AND(H212=H$2,LEN(H212)&gt;1,Q212=1),1,0)</f>
        <v>0</v>
      </c>
      <c r="V212" s="97">
        <f>VLOOKUP(1,R212:S235,2,0)</f>
        <v>0</v>
      </c>
      <c r="W212" s="95">
        <v>1</v>
      </c>
    </row>
    <row r="213" spans="1:29">
      <c r="A213" s="95">
        <v>2</v>
      </c>
      <c r="B213" s="95">
        <f>IF(Doubles!I65="",0,Doubles!I65)</f>
        <v>0</v>
      </c>
      <c r="C213" s="99" t="str">
        <f>IF(OR(LEFT(B213,LEN(B$3))=B$3,LEFT(B213,LEN(C$3))=C$3,LEN(B213)&lt;2),"",IF(B213="no pick","","Wrong pick"))</f>
        <v/>
      </c>
      <c r="E213" s="95">
        <f t="shared" si="78"/>
        <v>1</v>
      </c>
      <c r="G213" s="95" t="str">
        <f>IF(B213=0,"",IF(B213="no pick","No Pick",IF(LEFT(B213,LEN(B$3))=B$3,B$3,C$3)))</f>
        <v/>
      </c>
      <c r="H213" s="95" t="str">
        <f t="shared" si="79"/>
        <v>0-0</v>
      </c>
      <c r="J213" s="97">
        <f>D$3</f>
        <v>1</v>
      </c>
      <c r="K213" s="95" t="str">
        <f t="shared" si="80"/>
        <v>SR</v>
      </c>
      <c r="L213" s="95" t="str">
        <f t="shared" si="81"/>
        <v>0</v>
      </c>
      <c r="M213" s="95" t="str">
        <f t="shared" si="82"/>
        <v>0</v>
      </c>
      <c r="N213" s="95" t="str">
        <f t="shared" si="83"/>
        <v>0</v>
      </c>
      <c r="O213" s="95" t="str">
        <f t="shared" si="84"/>
        <v>0</v>
      </c>
      <c r="P213" s="95" t="str">
        <f t="shared" si="85"/>
        <v>0</v>
      </c>
      <c r="Q213" s="95">
        <f>IF(AND(G213=T$3,LEN(G213)&gt;1),1,0)</f>
        <v>0</v>
      </c>
      <c r="R213" s="97">
        <f>Doubles!G$3</f>
        <v>2</v>
      </c>
      <c r="S213" s="95">
        <f>IF(AND(H213=H$3,LEN(H213)&gt;1,Q213=1),1,0)</f>
        <v>0</v>
      </c>
      <c r="V213" s="97">
        <f>VLOOKUP(2,R212:S235,2,0)</f>
        <v>0</v>
      </c>
      <c r="W213" s="95">
        <v>2</v>
      </c>
    </row>
    <row r="214" spans="1:29">
      <c r="A214" s="95">
        <v>3</v>
      </c>
      <c r="B214" s="95">
        <f>IF(Doubles!I66="",0,Doubles!I66)</f>
        <v>0</v>
      </c>
      <c r="C214" s="99" t="str">
        <f>IF(OR(LEFT(B214,LEN(B$4))=B$4,LEFT(B214,LEN(C$4))=C$4,LEN(B214)&lt;2),"",IF(B214="no pick","","Wrong pick"))</f>
        <v/>
      </c>
      <c r="E214" s="95">
        <f t="shared" si="78"/>
        <v>1</v>
      </c>
      <c r="G214" s="95" t="str">
        <f>IF(B214=0,"",IF(B214="no pick","No Pick",IF(LEFT(B214,LEN(B$4))=B$4,B$4,C$4)))</f>
        <v/>
      </c>
      <c r="H214" s="95" t="str">
        <f t="shared" si="79"/>
        <v>0-0</v>
      </c>
      <c r="J214" s="97">
        <f>D$4</f>
        <v>1</v>
      </c>
      <c r="K214" s="95" t="str">
        <f t="shared" si="80"/>
        <v>SR</v>
      </c>
      <c r="L214" s="95" t="str">
        <f t="shared" si="81"/>
        <v>0</v>
      </c>
      <c r="M214" s="95" t="str">
        <f t="shared" si="82"/>
        <v>0</v>
      </c>
      <c r="N214" s="95" t="str">
        <f t="shared" si="83"/>
        <v>0</v>
      </c>
      <c r="O214" s="95" t="str">
        <f t="shared" si="84"/>
        <v>0</v>
      </c>
      <c r="P214" s="95" t="str">
        <f t="shared" si="85"/>
        <v>0</v>
      </c>
      <c r="Q214" s="95">
        <f>IF(AND(G214=T$4,LEN(G214)&gt;1),1,0)</f>
        <v>0</v>
      </c>
      <c r="R214" s="97">
        <f>Doubles!G$4</f>
        <v>3</v>
      </c>
      <c r="S214" s="95">
        <f>IF(AND(H214=H$4,LEN(H214)&gt;1,Q214=1),1,0)</f>
        <v>0</v>
      </c>
      <c r="V214" s="97">
        <f>VLOOKUP(3,R212:S235,2,0)</f>
        <v>0</v>
      </c>
      <c r="W214" s="95">
        <v>3</v>
      </c>
    </row>
    <row r="215" spans="1:29">
      <c r="A215" s="95">
        <v>4</v>
      </c>
      <c r="B215" s="95">
        <f>IF(Doubles!I67="",0,Doubles!I67)</f>
        <v>0</v>
      </c>
      <c r="C215" s="99" t="str">
        <f>IF(OR(LEFT(B215,LEN(B$5))=B$5,LEFT(B215,LEN(C$5))=C$5,LEN(B215)&lt;2),"",IF(B215="no pick","","Wrong pick"))</f>
        <v/>
      </c>
      <c r="E215" s="95">
        <f t="shared" si="78"/>
        <v>1</v>
      </c>
      <c r="G215" s="95" t="str">
        <f>IF(B215=0,"",IF(B215="no pick","No Pick",IF(LEFT(B215,LEN(B$5))=B$5,B$5,C$5)))</f>
        <v/>
      </c>
      <c r="H215" s="95" t="str">
        <f t="shared" si="79"/>
        <v>0-0</v>
      </c>
      <c r="J215" s="97">
        <f>D$5</f>
        <v>1</v>
      </c>
      <c r="K215" s="95" t="str">
        <f t="shared" si="80"/>
        <v>SR</v>
      </c>
      <c r="L215" s="95" t="str">
        <f t="shared" si="81"/>
        <v>0</v>
      </c>
      <c r="M215" s="95" t="str">
        <f t="shared" si="82"/>
        <v>0</v>
      </c>
      <c r="N215" s="95" t="str">
        <f t="shared" si="83"/>
        <v>0</v>
      </c>
      <c r="O215" s="95" t="str">
        <f t="shared" si="84"/>
        <v>0</v>
      </c>
      <c r="P215" s="95" t="str">
        <f t="shared" si="85"/>
        <v>0</v>
      </c>
      <c r="Q215" s="95">
        <f>IF(AND(G215=T$5,LEN(G215)&gt;1),1,0)</f>
        <v>0</v>
      </c>
      <c r="R215" s="97">
        <f>Doubles!G$5</f>
        <v>4</v>
      </c>
      <c r="S215" s="95">
        <f>IF(AND(H215=H$5,LEN(H215)&gt;1,Q215=1),1,0)</f>
        <v>0</v>
      </c>
      <c r="V215" s="97">
        <f>VLOOKUP(4,R212:S235,2,0)</f>
        <v>0</v>
      </c>
      <c r="W215" s="95">
        <v>4</v>
      </c>
    </row>
    <row r="216" spans="1:29">
      <c r="A216" s="95">
        <v>5</v>
      </c>
      <c r="B216" s="95">
        <f>IF(Doubles!I68="",0,Doubles!I68)</f>
        <v>0</v>
      </c>
      <c r="C216" s="99" t="str">
        <f>IF(OR(LEFT(B216,LEN(B$6))=B$6,LEFT(B216,LEN(C$6))=C$6,LEN(B216)&lt;2),"",IF(B216="no pick","","Wrong pick"))</f>
        <v/>
      </c>
      <c r="E216" s="95">
        <f t="shared" si="78"/>
        <v>1</v>
      </c>
      <c r="G216" s="95" t="str">
        <f>IF(B216=0,"",IF(B216="no pick","No Pick",IF(LEFT(B216,LEN(B$6))=B$6,B$6,C$6)))</f>
        <v/>
      </c>
      <c r="H216" s="95" t="str">
        <f t="shared" si="79"/>
        <v>0-0</v>
      </c>
      <c r="J216" s="97">
        <f>D$6</f>
        <v>1</v>
      </c>
      <c r="K216" s="95" t="str">
        <f t="shared" si="80"/>
        <v>SR</v>
      </c>
      <c r="L216" s="95" t="str">
        <f t="shared" si="81"/>
        <v>0</v>
      </c>
      <c r="M216" s="95" t="str">
        <f t="shared" si="82"/>
        <v>0</v>
      </c>
      <c r="N216" s="95" t="str">
        <f t="shared" si="83"/>
        <v>0</v>
      </c>
      <c r="O216" s="95" t="str">
        <f t="shared" si="84"/>
        <v>0</v>
      </c>
      <c r="P216" s="95" t="str">
        <f t="shared" si="85"/>
        <v>0</v>
      </c>
      <c r="Q216" s="95">
        <f>IF(AND(G216=T$6,LEN(G216)&gt;1),1,0)</f>
        <v>0</v>
      </c>
      <c r="R216" s="97">
        <f>Doubles!G$6</f>
        <v>5</v>
      </c>
      <c r="S216" s="95">
        <f>IF(AND(H216=H$6,LEN(H216)&gt;1,Q216=1),1,0)</f>
        <v>0</v>
      </c>
      <c r="V216" s="97">
        <f>VLOOKUP(5,R212:S235,2,0)</f>
        <v>0</v>
      </c>
      <c r="W216" s="95">
        <v>5</v>
      </c>
    </row>
    <row r="217" spans="1:29">
      <c r="A217" s="95">
        <v>6</v>
      </c>
      <c r="B217" s="95">
        <f>IF(Doubles!I69="",0,Doubles!I69)</f>
        <v>0</v>
      </c>
      <c r="C217" s="99" t="str">
        <f>IF(OR(LEFT(B217,LEN(B$7))=B$7,LEFT(B217,LEN(C$7))=C$7,LEN(B217)&lt;2),"",IF(B217="no pick","","Wrong pick"))</f>
        <v/>
      </c>
      <c r="E217" s="95">
        <f t="shared" si="78"/>
        <v>1</v>
      </c>
      <c r="G217" s="95" t="str">
        <f>IF(B217=0,"",IF(B217="no pick","No Pick",IF(LEFT(B217,LEN(B$7))=B$7,B$7,C$7)))</f>
        <v/>
      </c>
      <c r="H217" s="95" t="str">
        <f t="shared" si="79"/>
        <v>0-0</v>
      </c>
      <c r="J217" s="97">
        <f>D$7</f>
        <v>1</v>
      </c>
      <c r="K217" s="95" t="str">
        <f t="shared" si="80"/>
        <v>SR</v>
      </c>
      <c r="L217" s="95" t="str">
        <f t="shared" si="81"/>
        <v>0</v>
      </c>
      <c r="M217" s="95" t="str">
        <f t="shared" si="82"/>
        <v>0</v>
      </c>
      <c r="N217" s="95" t="str">
        <f t="shared" si="83"/>
        <v>0</v>
      </c>
      <c r="O217" s="95" t="str">
        <f t="shared" si="84"/>
        <v>0</v>
      </c>
      <c r="P217" s="95" t="str">
        <f t="shared" si="85"/>
        <v>0</v>
      </c>
      <c r="Q217" s="95">
        <f>IF(AND(G217=T$7,LEN(G217)&gt;1),1,0)</f>
        <v>0</v>
      </c>
      <c r="R217" s="97">
        <f>Doubles!G$7</f>
        <v>6</v>
      </c>
      <c r="S217" s="95">
        <f>IF(AND(H217=H$7,LEN(H217)&gt;1,Q217=1),1,0)</f>
        <v>0</v>
      </c>
      <c r="V217" s="97">
        <f>VLOOKUP(6,R212:S235,2,0)</f>
        <v>0</v>
      </c>
      <c r="W217" s="95">
        <v>6</v>
      </c>
    </row>
    <row r="218" spans="1:29">
      <c r="A218" s="95">
        <v>7</v>
      </c>
      <c r="B218" s="95">
        <f>IF(Doubles!I70="",0,Doubles!I70)</f>
        <v>0</v>
      </c>
      <c r="C218" s="99" t="str">
        <f>IF(OR(LEFT(B218,LEN(B$8))=B$8,LEFT(B218,LEN(C$8))=C$8,LEN(B218)&lt;2),"",IF(B218="no pick","","Wrong pick"))</f>
        <v/>
      </c>
      <c r="E218" s="95">
        <f t="shared" si="78"/>
        <v>1</v>
      </c>
      <c r="G218" s="95" t="str">
        <f>IF(B218=0,"",IF(B218="no pick","No Pick",IF(LEFT(B218,LEN(B$8))=B$8,B$8,C$8)))</f>
        <v/>
      </c>
      <c r="H218" s="95" t="str">
        <f t="shared" si="79"/>
        <v>0-0</v>
      </c>
      <c r="J218" s="97">
        <f>D$8</f>
        <v>1</v>
      </c>
      <c r="K218" s="95" t="str">
        <f t="shared" si="80"/>
        <v>SR</v>
      </c>
      <c r="L218" s="95" t="str">
        <f t="shared" si="81"/>
        <v>0</v>
      </c>
      <c r="M218" s="95" t="str">
        <f t="shared" si="82"/>
        <v>0</v>
      </c>
      <c r="N218" s="95" t="str">
        <f t="shared" si="83"/>
        <v>0</v>
      </c>
      <c r="O218" s="95" t="str">
        <f t="shared" si="84"/>
        <v>0</v>
      </c>
      <c r="P218" s="95" t="str">
        <f t="shared" si="85"/>
        <v>0</v>
      </c>
      <c r="Q218" s="95">
        <f>IF(AND(G218=T$8,LEN(G218)&gt;1),1,0)</f>
        <v>0</v>
      </c>
      <c r="R218" s="97">
        <f>Doubles!G$8</f>
        <v>7</v>
      </c>
      <c r="S218" s="95">
        <f>IF(AND(H218=H$8,LEN(H218)&gt;1,Q218=1),1,0)</f>
        <v>0</v>
      </c>
      <c r="V218" s="97">
        <f>VLOOKUP(7,R212:S235,2,0)</f>
        <v>0</v>
      </c>
      <c r="W218" s="95">
        <v>7</v>
      </c>
    </row>
    <row r="219" spans="1:29">
      <c r="A219" s="95">
        <v>8</v>
      </c>
      <c r="B219" s="95">
        <f>IF(Doubles!I71="",0,Doubles!I71)</f>
        <v>0</v>
      </c>
      <c r="C219" s="99" t="str">
        <f>IF(OR(LEFT(B219,LEN(B$9))=B$9,LEFT(B219,LEN(C$9))=C$9,LEN(B219)&lt;2),"",IF(B219="no pick","","Wrong pick"))</f>
        <v/>
      </c>
      <c r="E219" s="95">
        <f t="shared" si="78"/>
        <v>1</v>
      </c>
      <c r="G219" s="95" t="str">
        <f>IF(B219=0,"",IF(B219="no pick","No Pick",IF(LEFT(B219,LEN(B$9))=B$9,B$9,C$9)))</f>
        <v/>
      </c>
      <c r="H219" s="95" t="str">
        <f t="shared" si="79"/>
        <v>0-0</v>
      </c>
      <c r="J219" s="97">
        <f>D$9</f>
        <v>1</v>
      </c>
      <c r="K219" s="95" t="str">
        <f t="shared" si="80"/>
        <v>SR</v>
      </c>
      <c r="L219" s="95" t="str">
        <f t="shared" si="81"/>
        <v>0</v>
      </c>
      <c r="M219" s="95" t="str">
        <f t="shared" si="82"/>
        <v>0</v>
      </c>
      <c r="N219" s="95" t="str">
        <f t="shared" si="83"/>
        <v>0</v>
      </c>
      <c r="O219" s="95" t="str">
        <f t="shared" si="84"/>
        <v>0</v>
      </c>
      <c r="P219" s="95" t="str">
        <f t="shared" si="85"/>
        <v>0</v>
      </c>
      <c r="Q219" s="95">
        <f>IF(AND(G219=T$9,LEN(G219)&gt;1),1,0)</f>
        <v>0</v>
      </c>
      <c r="R219" s="97">
        <f>Doubles!G$9</f>
        <v>8</v>
      </c>
      <c r="S219" s="95">
        <f>IF(AND(H219=H$9,LEN(H219)&gt;1,Q219=1),1,0)</f>
        <v>0</v>
      </c>
      <c r="V219" s="97">
        <f>VLOOKUP(8,R212:S235,2,0)</f>
        <v>0</v>
      </c>
      <c r="W219" s="95">
        <v>8</v>
      </c>
    </row>
    <row r="220" spans="1:29">
      <c r="A220" s="95">
        <v>9</v>
      </c>
      <c r="B220" s="95">
        <f>IF(Doubles!I72="",0,Doubles!I72)</f>
        <v>0</v>
      </c>
      <c r="C220" s="99" t="str">
        <f>IF(OR(LEFT(B220,LEN(B$10))=B$10,LEFT(B220,LEN(C$10))=C$10,LEN(B220)&lt;2),"",IF(B220="no pick","","Wrong pick"))</f>
        <v/>
      </c>
      <c r="E220" s="95">
        <f t="shared" si="78"/>
        <v>1</v>
      </c>
      <c r="G220" s="95" t="str">
        <f>IF(B220=0,"",IF(B220="no pick","No Pick",IF(LEFT(B220,LEN(B$10))=B$10,B$10,C$10)))</f>
        <v/>
      </c>
      <c r="H220" s="95" t="str">
        <f t="shared" si="79"/>
        <v>0-0</v>
      </c>
      <c r="J220" s="97">
        <f>D$10</f>
        <v>1</v>
      </c>
      <c r="K220" s="95" t="str">
        <f t="shared" si="80"/>
        <v>SR</v>
      </c>
      <c r="L220" s="95" t="str">
        <f t="shared" si="81"/>
        <v>0</v>
      </c>
      <c r="M220" s="95" t="str">
        <f t="shared" si="82"/>
        <v>0</v>
      </c>
      <c r="N220" s="95" t="str">
        <f t="shared" si="83"/>
        <v>0</v>
      </c>
      <c r="O220" s="95" t="str">
        <f t="shared" si="84"/>
        <v>0</v>
      </c>
      <c r="P220" s="95" t="str">
        <f t="shared" si="85"/>
        <v>0</v>
      </c>
      <c r="Q220" s="95">
        <f>IF(AND(G220=T$10,LEN(G220)&gt;1),1,0)</f>
        <v>0</v>
      </c>
      <c r="R220" s="97">
        <f>Doubles!G$10</f>
        <v>9</v>
      </c>
      <c r="S220" s="95">
        <f>IF(AND(H220=H$10,LEN(H220)&gt;1,Q220=1),1,0)</f>
        <v>0</v>
      </c>
      <c r="V220" s="97">
        <f>VLOOKUP(9,R212:S235,2,0)</f>
        <v>0</v>
      </c>
      <c r="W220" s="95">
        <v>9</v>
      </c>
    </row>
    <row r="221" spans="1:29">
      <c r="A221" s="95">
        <v>10</v>
      </c>
      <c r="B221" s="95">
        <f>IF(Doubles!I73="",0,Doubles!I73)</f>
        <v>0</v>
      </c>
      <c r="C221" s="99" t="str">
        <f>IF(OR(LEFT(B221,LEN(B$11))=B$11,LEFT(B221,LEN(C$11))=C$11,LEN(B221)&lt;2),"",IF(B221="no pick","","Wrong pick"))</f>
        <v/>
      </c>
      <c r="E221" s="95">
        <f t="shared" si="78"/>
        <v>1</v>
      </c>
      <c r="G221" s="95" t="str">
        <f>IF(B221=0,"",IF(B221="no pick","No Pick",IF(LEFT(B221,LEN(B$11))=B$11,B$11,C$11)))</f>
        <v/>
      </c>
      <c r="H221" s="95" t="str">
        <f t="shared" si="79"/>
        <v>0-0</v>
      </c>
      <c r="J221" s="97">
        <f>D$11</f>
        <v>1</v>
      </c>
      <c r="K221" s="95" t="str">
        <f t="shared" si="80"/>
        <v>SR</v>
      </c>
      <c r="L221" s="95" t="str">
        <f t="shared" si="81"/>
        <v>0</v>
      </c>
      <c r="M221" s="95" t="str">
        <f t="shared" si="82"/>
        <v>0</v>
      </c>
      <c r="N221" s="95" t="str">
        <f t="shared" si="83"/>
        <v>0</v>
      </c>
      <c r="O221" s="95" t="str">
        <f t="shared" si="84"/>
        <v>0</v>
      </c>
      <c r="P221" s="95" t="str">
        <f t="shared" si="85"/>
        <v>0</v>
      </c>
      <c r="Q221" s="95">
        <f>IF(AND(G221=T$11,LEN(G221)&gt;1),1,0)</f>
        <v>0</v>
      </c>
      <c r="R221" s="97">
        <f>Doubles!G$11</f>
        <v>10</v>
      </c>
      <c r="S221" s="95">
        <f>IF(AND(H221=H$11,LEN(H221)&gt;1,Q221=1),1,0)</f>
        <v>0</v>
      </c>
      <c r="V221" s="97">
        <f>VLOOKUP(10,R212:S235,2,0)</f>
        <v>0</v>
      </c>
      <c r="W221" s="95">
        <v>10</v>
      </c>
    </row>
    <row r="222" spans="1:29">
      <c r="A222" s="95">
        <v>11</v>
      </c>
      <c r="B222" s="95">
        <f>IF(Doubles!I74="",0,Doubles!I74)</f>
        <v>0</v>
      </c>
      <c r="C222" s="99" t="str">
        <f>IF(OR(LEFT(B222,LEN(B$12))=B$12,LEFT(B222,LEN(C$12))=C$12,LEN(B222)&lt;2),"",IF(B222="no pick","","Wrong pick"))</f>
        <v/>
      </c>
      <c r="E222" s="95">
        <f t="shared" si="78"/>
        <v>1</v>
      </c>
      <c r="G222" s="95" t="str">
        <f>IF(B222=0,"",IF(B222="no pick","No Pick",IF(LEFT(B222,LEN(B$12))=B$12,B$12,C$12)))</f>
        <v/>
      </c>
      <c r="H222" s="95" t="str">
        <f t="shared" si="79"/>
        <v>0-0</v>
      </c>
      <c r="J222" s="97">
        <f>D$12</f>
        <v>1</v>
      </c>
      <c r="K222" s="95" t="str">
        <f t="shared" si="80"/>
        <v>SR</v>
      </c>
      <c r="L222" s="95" t="str">
        <f t="shared" si="81"/>
        <v>0</v>
      </c>
      <c r="M222" s="95" t="str">
        <f t="shared" si="82"/>
        <v>0</v>
      </c>
      <c r="N222" s="95" t="str">
        <f t="shared" si="83"/>
        <v>0</v>
      </c>
      <c r="O222" s="95" t="str">
        <f t="shared" si="84"/>
        <v>0</v>
      </c>
      <c r="P222" s="95" t="str">
        <f t="shared" si="85"/>
        <v>0</v>
      </c>
      <c r="Q222" s="95">
        <f>IF(AND(G222=T$12,LEN(G222)&gt;1),1,0)</f>
        <v>0</v>
      </c>
      <c r="R222" s="97">
        <f>Doubles!G$12</f>
        <v>11</v>
      </c>
      <c r="S222" s="95">
        <f>IF(AND(H222=H$12,LEN(H222)&gt;1,Q222=1),1,0)</f>
        <v>0</v>
      </c>
      <c r="V222" s="97">
        <f>VLOOKUP(11,R212:S235,2,0)</f>
        <v>0</v>
      </c>
      <c r="W222" s="95">
        <v>11</v>
      </c>
    </row>
    <row r="223" spans="1:29">
      <c r="A223" s="95">
        <v>12</v>
      </c>
      <c r="B223" s="95">
        <f>IF(Doubles!I75="",0,Doubles!I75)</f>
        <v>0</v>
      </c>
      <c r="C223" s="99" t="str">
        <f>IF(OR(LEFT(B223,LEN(B$13))=B$13,LEFT(B223,LEN(C$13))=C$13,LEN(B223)&lt;2),"",IF(B223="no pick","","Wrong pick"))</f>
        <v/>
      </c>
      <c r="E223" s="95">
        <f t="shared" si="78"/>
        <v>1</v>
      </c>
      <c r="G223" s="95" t="str">
        <f>IF(B223=0,"",IF(B223="no pick","No Pick",IF(LEFT(B223,LEN(B$13))=B$13,B$13,C$13)))</f>
        <v/>
      </c>
      <c r="H223" s="95" t="str">
        <f t="shared" si="79"/>
        <v>0-0</v>
      </c>
      <c r="J223" s="97">
        <f>D$13</f>
        <v>1</v>
      </c>
      <c r="K223" s="95" t="str">
        <f t="shared" si="80"/>
        <v>SR</v>
      </c>
      <c r="L223" s="95" t="str">
        <f t="shared" si="81"/>
        <v>0</v>
      </c>
      <c r="M223" s="95" t="str">
        <f t="shared" si="82"/>
        <v>0</v>
      </c>
      <c r="N223" s="95" t="str">
        <f t="shared" si="83"/>
        <v>0</v>
      </c>
      <c r="O223" s="95" t="str">
        <f t="shared" si="84"/>
        <v>0</v>
      </c>
      <c r="P223" s="95" t="str">
        <f t="shared" si="85"/>
        <v>0</v>
      </c>
      <c r="Q223" s="95">
        <f>IF(AND(G223=T$13,LEN(G223)&gt;1),1,0)</f>
        <v>0</v>
      </c>
      <c r="R223" s="97">
        <f>Doubles!G$13</f>
        <v>12</v>
      </c>
      <c r="S223" s="95">
        <f>IF(AND(H223=H$13,LEN(H223)&gt;1,Q223=1),1,0)</f>
        <v>0</v>
      </c>
      <c r="V223" s="97">
        <f>VLOOKUP(12,R212:S235,2,0)</f>
        <v>0</v>
      </c>
      <c r="W223" s="95">
        <v>12</v>
      </c>
    </row>
    <row r="224" spans="1:29">
      <c r="A224" s="95">
        <v>13</v>
      </c>
      <c r="B224" s="95">
        <f>IF(Doubles!I76="",0,Doubles!I76)</f>
        <v>0</v>
      </c>
      <c r="C224" s="99" t="str">
        <f>IF(OR(LEFT(B224,LEN(B$14))=B$14,LEFT(B224,LEN(C$14))=C$14,LEN(B224)&lt;2),"",IF(B224="no pick","","Wrong pick"))</f>
        <v/>
      </c>
      <c r="E224" s="95">
        <f t="shared" si="78"/>
        <v>1</v>
      </c>
      <c r="G224" s="95" t="str">
        <f>IF(B224=0,"",IF(B224="no pick","No Pick",IF(LEFT(B224,LEN(B$14))=B$14,B$14,C$14)))</f>
        <v/>
      </c>
      <c r="H224" s="95" t="str">
        <f t="shared" si="79"/>
        <v>0-0</v>
      </c>
      <c r="J224" s="97">
        <f>D$14</f>
        <v>1</v>
      </c>
      <c r="K224" s="95" t="str">
        <f t="shared" si="80"/>
        <v>SR</v>
      </c>
      <c r="L224" s="95" t="str">
        <f t="shared" si="81"/>
        <v>0</v>
      </c>
      <c r="M224" s="95" t="str">
        <f t="shared" si="82"/>
        <v>0</v>
      </c>
      <c r="N224" s="95" t="str">
        <f t="shared" si="83"/>
        <v>0</v>
      </c>
      <c r="O224" s="95" t="str">
        <f t="shared" si="84"/>
        <v>0</v>
      </c>
      <c r="P224" s="95" t="str">
        <f t="shared" si="85"/>
        <v>0</v>
      </c>
      <c r="Q224" s="95">
        <f>IF(AND(G224=T$14,LEN(G224)&gt;1),1,0)</f>
        <v>0</v>
      </c>
      <c r="R224" s="97">
        <f>Doubles!G$14</f>
        <v>13</v>
      </c>
      <c r="S224" s="95">
        <f>IF(AND(H224=H$14,LEN(H224)&gt;1,Q224=1),1,0)</f>
        <v>0</v>
      </c>
      <c r="V224" s="97">
        <f>VLOOKUP(13,R212:S235,2,0)</f>
        <v>0</v>
      </c>
      <c r="W224" s="95">
        <v>13</v>
      </c>
    </row>
    <row r="225" spans="1:29">
      <c r="A225" s="95">
        <v>14</v>
      </c>
      <c r="B225" s="95">
        <f>IF(Doubles!I77="",0,Doubles!I77)</f>
        <v>0</v>
      </c>
      <c r="C225" s="99" t="str">
        <f>IF(OR(LEFT(B225,LEN(B$15))=B$15,LEFT(B225,LEN(C$15))=C$15,LEN(B225)&lt;2),"",IF(B225="no pick","","Wrong pick"))</f>
        <v/>
      </c>
      <c r="E225" s="95">
        <f t="shared" si="78"/>
        <v>1</v>
      </c>
      <c r="G225" s="95" t="str">
        <f>IF(B225=0,"",IF(B225="no pick","No Pick",IF(LEFT(B225,LEN(B$15))=B$15,B$15,C$15)))</f>
        <v/>
      </c>
      <c r="H225" s="95" t="str">
        <f t="shared" si="79"/>
        <v>0-0</v>
      </c>
      <c r="J225" s="97">
        <f>D$15</f>
        <v>1</v>
      </c>
      <c r="K225" s="95" t="str">
        <f t="shared" si="80"/>
        <v>SR</v>
      </c>
      <c r="L225" s="95" t="str">
        <f t="shared" si="81"/>
        <v>0</v>
      </c>
      <c r="M225" s="95" t="str">
        <f t="shared" si="82"/>
        <v>0</v>
      </c>
      <c r="N225" s="95" t="str">
        <f t="shared" si="83"/>
        <v>0</v>
      </c>
      <c r="O225" s="95" t="str">
        <f t="shared" si="84"/>
        <v>0</v>
      </c>
      <c r="P225" s="95" t="str">
        <f t="shared" si="85"/>
        <v>0</v>
      </c>
      <c r="Q225" s="95">
        <f>IF(AND(G225=T$15,LEN(G225)&gt;1),1,0)</f>
        <v>0</v>
      </c>
      <c r="R225" s="97">
        <f>Doubles!G$15</f>
        <v>14</v>
      </c>
      <c r="S225" s="95">
        <f>IF(AND(H225=H$15,LEN(H225)&gt;1,Q225=1),1,0)</f>
        <v>0</v>
      </c>
      <c r="V225" s="97">
        <f>VLOOKUP(14,R212:S235,2,0)</f>
        <v>0</v>
      </c>
      <c r="W225" s="95">
        <v>14</v>
      </c>
    </row>
    <row r="226" spans="1:29">
      <c r="A226" s="95">
        <v>15</v>
      </c>
      <c r="B226" s="95">
        <f>IF(Doubles!I78="",0,Doubles!I78)</f>
        <v>0</v>
      </c>
      <c r="C226" s="99" t="str">
        <f>IF(OR(LEFT(B226,LEN(B$16))=B$16,LEFT(B226,LEN(C$16))=C$16,LEN(B226)&lt;2),"",IF(B226="no pick","","Wrong pick"))</f>
        <v/>
      </c>
      <c r="E226" s="95">
        <f t="shared" si="78"/>
        <v>1</v>
      </c>
      <c r="G226" s="95" t="str">
        <f>IF(B226=0,"",IF(B226="no pick","No Pick",IF(LEFT(B226,LEN(B$16))=B$16,B$16,C$16)))</f>
        <v/>
      </c>
      <c r="H226" s="95" t="str">
        <f t="shared" si="79"/>
        <v>0-0</v>
      </c>
      <c r="J226" s="97">
        <f>D$16</f>
        <v>1</v>
      </c>
      <c r="K226" s="95" t="str">
        <f t="shared" si="80"/>
        <v>SR</v>
      </c>
      <c r="L226" s="95" t="str">
        <f t="shared" si="81"/>
        <v>0</v>
      </c>
      <c r="M226" s="95" t="str">
        <f t="shared" si="82"/>
        <v>0</v>
      </c>
      <c r="N226" s="95" t="str">
        <f t="shared" si="83"/>
        <v>0</v>
      </c>
      <c r="O226" s="95" t="str">
        <f t="shared" si="84"/>
        <v>0</v>
      </c>
      <c r="P226" s="95" t="str">
        <f t="shared" si="85"/>
        <v>0</v>
      </c>
      <c r="Q226" s="95">
        <f>IF(AND(G226=T$16,LEN(G226)&gt;1),1,0)</f>
        <v>0</v>
      </c>
      <c r="R226" s="97">
        <f>Doubles!G$16</f>
        <v>15</v>
      </c>
      <c r="S226" s="95">
        <f>IF(AND(H226=H$16,LEN(H226)&gt;1,Q226=1),1,0)</f>
        <v>0</v>
      </c>
      <c r="V226" s="97">
        <f>VLOOKUP(15,R212:S235,2,0)</f>
        <v>0</v>
      </c>
      <c r="W226" s="95">
        <v>15</v>
      </c>
    </row>
    <row r="227" spans="1:29">
      <c r="A227" s="95">
        <v>16</v>
      </c>
      <c r="B227" s="95">
        <f>IF(Doubles!I79="",0,Doubles!I79)</f>
        <v>0</v>
      </c>
      <c r="C227" s="99" t="str">
        <f>IF(OR(LEFT(B227,LEN(B$17))=B$17,LEFT(B227,LEN(C$17))=C$17,LEN(B227)&lt;2),"",IF(B227="no pick","","Wrong pick"))</f>
        <v/>
      </c>
      <c r="E227" s="95">
        <f t="shared" si="78"/>
        <v>1</v>
      </c>
      <c r="G227" s="95" t="str">
        <f>IF(B227=0,"",IF(B227="no pick","No Pick",IF(LEFT(B227,LEN(B$17))=B$17,B$17,C$17)))</f>
        <v/>
      </c>
      <c r="H227" s="95" t="str">
        <f t="shared" si="79"/>
        <v>0-0</v>
      </c>
      <c r="J227" s="97">
        <f>D$17</f>
        <v>1</v>
      </c>
      <c r="K227" s="95" t="str">
        <f t="shared" si="80"/>
        <v>SR</v>
      </c>
      <c r="L227" s="95" t="str">
        <f t="shared" si="81"/>
        <v>0</v>
      </c>
      <c r="M227" s="95" t="str">
        <f t="shared" si="82"/>
        <v>0</v>
      </c>
      <c r="N227" s="95" t="str">
        <f t="shared" si="83"/>
        <v>0</v>
      </c>
      <c r="O227" s="95" t="str">
        <f t="shared" si="84"/>
        <v>0</v>
      </c>
      <c r="P227" s="95" t="str">
        <f t="shared" si="85"/>
        <v>0</v>
      </c>
      <c r="Q227" s="95">
        <f>IF(AND(G227=T$17,LEN(G227)&gt;1),1,0)</f>
        <v>0</v>
      </c>
      <c r="R227" s="97">
        <f>Doubles!G$17</f>
        <v>16</v>
      </c>
      <c r="S227" s="95">
        <f>IF(AND(H227=H$17,LEN(H227)&gt;1,Q227=1),1,0)</f>
        <v>0</v>
      </c>
      <c r="V227" s="97">
        <f>VLOOKUP(16,R212:S235,2,0)</f>
        <v>0</v>
      </c>
      <c r="W227" s="95">
        <v>16</v>
      </c>
    </row>
    <row r="228" spans="1:29">
      <c r="A228" s="95">
        <v>17</v>
      </c>
      <c r="B228" s="95">
        <f>IF(Doubles!I80="",0,Doubles!I80)</f>
        <v>0</v>
      </c>
      <c r="C228" s="99" t="str">
        <f>IF(OR(LEFT(B228,LEN(B$18))=B$18,LEFT(B228,LEN(C$18))=C$18,LEN(B228)&lt;2),"",IF(B228="no pick","","Wrong pick"))</f>
        <v/>
      </c>
      <c r="E228" s="95">
        <f t="shared" si="78"/>
        <v>0</v>
      </c>
      <c r="G228" s="95" t="str">
        <f>IF(B228=0,"",IF(B228="no pick","No Pick",IF(LEFT(B228,LEN(B$18))=B$18,B$18,C$18)))</f>
        <v/>
      </c>
      <c r="H228" s="95" t="str">
        <f t="shared" si="79"/>
        <v>0-0</v>
      </c>
      <c r="J228" s="95">
        <f>D$18</f>
        <v>0</v>
      </c>
      <c r="K228" s="95" t="str">
        <f t="shared" si="80"/>
        <v>SR</v>
      </c>
      <c r="L228" s="95" t="str">
        <f t="shared" si="81"/>
        <v>0</v>
      </c>
      <c r="M228" s="95" t="str">
        <f t="shared" si="82"/>
        <v>0</v>
      </c>
      <c r="N228" s="95" t="str">
        <f t="shared" si="83"/>
        <v>0</v>
      </c>
      <c r="O228" s="95" t="str">
        <f t="shared" si="84"/>
        <v>0</v>
      </c>
      <c r="P228" s="95" t="str">
        <f t="shared" si="85"/>
        <v>0</v>
      </c>
      <c r="Q228" s="95">
        <f>IF(AND(G228=T$18,LEN(G228)&gt;1),1,0)</f>
        <v>0</v>
      </c>
      <c r="R228" s="97">
        <f>Doubles!G$18</f>
        <v>17</v>
      </c>
      <c r="S228" s="95">
        <f>IF(AND(H228=H$18,LEN(H228)&gt;1,Q228=1),1,0)</f>
        <v>0</v>
      </c>
      <c r="V228" s="97">
        <f>VLOOKUP(17,R212:S235,2,0)</f>
        <v>0</v>
      </c>
      <c r="W228" s="95">
        <v>17</v>
      </c>
    </row>
    <row r="229" spans="1:29">
      <c r="A229" s="95">
        <v>18</v>
      </c>
      <c r="B229" s="95">
        <f>IF(Doubles!I81="",0,Doubles!I81)</f>
        <v>0</v>
      </c>
      <c r="C229" s="99" t="str">
        <f>IF(OR(LEFT(B229,LEN(B$19))=B$19,LEFT(B229,LEN(C$19))=C$19,LEN(B229)&lt;2),"",IF(B229="no pick","","Wrong pick"))</f>
        <v/>
      </c>
      <c r="E229" s="95">
        <f t="shared" si="78"/>
        <v>0</v>
      </c>
      <c r="G229" s="95" t="str">
        <f>IF(B229=0,"",IF(B229="no pick","No Pick",IF(LEFT(B229,LEN(B$19))=B$19,B$19,C$19)))</f>
        <v/>
      </c>
      <c r="H229" s="95" t="str">
        <f t="shared" si="79"/>
        <v>0-0</v>
      </c>
      <c r="J229" s="95">
        <f>D$19</f>
        <v>0</v>
      </c>
      <c r="K229" s="95" t="str">
        <f t="shared" si="80"/>
        <v>SR</v>
      </c>
      <c r="L229" s="95" t="str">
        <f t="shared" si="81"/>
        <v>0</v>
      </c>
      <c r="M229" s="95" t="str">
        <f t="shared" si="82"/>
        <v>0</v>
      </c>
      <c r="N229" s="95" t="str">
        <f t="shared" si="83"/>
        <v>0</v>
      </c>
      <c r="O229" s="95" t="str">
        <f t="shared" si="84"/>
        <v>0</v>
      </c>
      <c r="P229" s="95" t="str">
        <f t="shared" si="85"/>
        <v>0</v>
      </c>
      <c r="Q229" s="95">
        <f>IF(AND(G229=T$19,LEN(G229)&gt;1),1,0)</f>
        <v>0</v>
      </c>
      <c r="R229" s="97">
        <f>Doubles!G$19</f>
        <v>18</v>
      </c>
      <c r="S229" s="95">
        <f>IF(AND(H229=H$19,LEN(H229)&gt;1,Q229=1),1,0)</f>
        <v>0</v>
      </c>
      <c r="V229" s="97">
        <f>VLOOKUP(18,R212:S235,2,0)</f>
        <v>0</v>
      </c>
      <c r="W229" s="95">
        <v>18</v>
      </c>
    </row>
    <row r="230" spans="1:29">
      <c r="A230" s="95">
        <v>19</v>
      </c>
      <c r="B230" s="95">
        <f>IF(Doubles!I82="",0,Doubles!I82)</f>
        <v>0</v>
      </c>
      <c r="C230" s="99" t="str">
        <f>IF(OR(LEFT(B230,LEN(B$20))=B$20,LEFT(B230,LEN(C$20))=C$20,LEN(B230)&lt;2),"",IF(B230="no pick","","Wrong pick"))</f>
        <v/>
      </c>
      <c r="E230" s="95">
        <f t="shared" si="78"/>
        <v>0</v>
      </c>
      <c r="G230" s="95" t="str">
        <f>IF(B230=0,"",IF(B230="no pick","No Pick",IF(LEFT(B230,LEN(B$20))=B$20,B$20,C$20)))</f>
        <v/>
      </c>
      <c r="H230" s="95" t="str">
        <f t="shared" si="79"/>
        <v>0-0</v>
      </c>
      <c r="J230" s="95">
        <f>D$20</f>
        <v>0</v>
      </c>
      <c r="K230" s="95" t="str">
        <f t="shared" si="80"/>
        <v>SR</v>
      </c>
      <c r="L230" s="95" t="str">
        <f t="shared" si="81"/>
        <v>0</v>
      </c>
      <c r="M230" s="95" t="str">
        <f t="shared" si="82"/>
        <v>0</v>
      </c>
      <c r="N230" s="95" t="str">
        <f t="shared" si="83"/>
        <v>0</v>
      </c>
      <c r="O230" s="95" t="str">
        <f t="shared" si="84"/>
        <v>0</v>
      </c>
      <c r="P230" s="95" t="str">
        <f t="shared" si="85"/>
        <v>0</v>
      </c>
      <c r="Q230" s="95">
        <f>IF(AND(G230=T$20,LEN(G230)&gt;1),1,0)</f>
        <v>0</v>
      </c>
      <c r="R230" s="97">
        <f>Doubles!G$20</f>
        <v>19</v>
      </c>
      <c r="S230" s="95">
        <f>IF(AND(H230=H$20,LEN(H230)&gt;1,Q230=1),1,0)</f>
        <v>0</v>
      </c>
      <c r="V230" s="97">
        <f>VLOOKUP(19,R212:S235,2,0)</f>
        <v>0</v>
      </c>
      <c r="W230" s="95">
        <v>19</v>
      </c>
    </row>
    <row r="231" spans="1:29">
      <c r="A231" s="95">
        <v>20</v>
      </c>
      <c r="B231" s="95">
        <f>IF(Doubles!I83="",0,Doubles!I83)</f>
        <v>0</v>
      </c>
      <c r="C231" s="99" t="str">
        <f>IF(OR(LEFT(B231,LEN(B$21))=B$21,LEFT(B231,LEN(C$21))=C$21,LEN(B231)&lt;2),"",IF(B231="no pick","","Wrong pick"))</f>
        <v/>
      </c>
      <c r="E231" s="95">
        <f t="shared" si="78"/>
        <v>0</v>
      </c>
      <c r="G231" s="95" t="str">
        <f>IF(B231=0,"",IF(B231="no pick","No Pick",IF(LEFT(B231,LEN(B$21))=B$21,B$21,C$21)))</f>
        <v/>
      </c>
      <c r="H231" s="95" t="str">
        <f t="shared" si="79"/>
        <v>0-0</v>
      </c>
      <c r="J231" s="95">
        <f>D$21</f>
        <v>0</v>
      </c>
      <c r="K231" s="95" t="str">
        <f t="shared" si="80"/>
        <v>SR</v>
      </c>
      <c r="L231" s="95" t="str">
        <f t="shared" si="81"/>
        <v>0</v>
      </c>
      <c r="M231" s="95" t="str">
        <f t="shared" si="82"/>
        <v>0</v>
      </c>
      <c r="N231" s="95" t="str">
        <f t="shared" si="83"/>
        <v>0</v>
      </c>
      <c r="O231" s="95" t="str">
        <f t="shared" si="84"/>
        <v>0</v>
      </c>
      <c r="P231" s="95" t="str">
        <f t="shared" si="85"/>
        <v>0</v>
      </c>
      <c r="Q231" s="95">
        <f>IF(AND(G231=T$21,LEN(G231)&gt;1),1,0)</f>
        <v>0</v>
      </c>
      <c r="R231" s="97">
        <f>Doubles!G$21</f>
        <v>20</v>
      </c>
      <c r="S231" s="95">
        <f>IF(AND(H231=H$21,LEN(H231)&gt;1,Q231=1),1,0)</f>
        <v>0</v>
      </c>
      <c r="V231" s="97">
        <f>VLOOKUP(20,R212:S235,2,0)</f>
        <v>0</v>
      </c>
      <c r="W231" s="95">
        <v>20</v>
      </c>
    </row>
    <row r="232" spans="1:29">
      <c r="A232" s="95">
        <v>21</v>
      </c>
      <c r="B232" s="95">
        <f>IF(Doubles!I84="",0,Doubles!I84)</f>
        <v>0</v>
      </c>
      <c r="C232" s="99" t="str">
        <f>IF(OR(LEFT(B232,LEN(B$22))=B$22,LEFT(B232,LEN(C$22))=C$22,LEN(B232)&lt;2),"",IF(B232="no pick","","Wrong pick"))</f>
        <v/>
      </c>
      <c r="E232" s="95">
        <f t="shared" si="78"/>
        <v>0</v>
      </c>
      <c r="G232" s="95" t="str">
        <f>IF(B232=0,"",IF(B232="no pick","No Pick",IF(LEFT(B232,LEN(B$22))=B$22,B$22,C$22)))</f>
        <v/>
      </c>
      <c r="H232" s="95" t="str">
        <f t="shared" si="79"/>
        <v>0-0</v>
      </c>
      <c r="J232" s="95">
        <f>D$22</f>
        <v>0</v>
      </c>
      <c r="K232" s="95" t="str">
        <f t="shared" si="80"/>
        <v>SR</v>
      </c>
      <c r="L232" s="95" t="str">
        <f t="shared" si="81"/>
        <v>0</v>
      </c>
      <c r="M232" s="95" t="str">
        <f t="shared" si="82"/>
        <v>0</v>
      </c>
      <c r="N232" s="95" t="str">
        <f t="shared" si="83"/>
        <v>0</v>
      </c>
      <c r="O232" s="95" t="str">
        <f t="shared" si="84"/>
        <v>0</v>
      </c>
      <c r="P232" s="95" t="str">
        <f t="shared" si="85"/>
        <v>0</v>
      </c>
      <c r="Q232" s="95">
        <f>IF(AND(G232=T$22,LEN(G232)&gt;1),1,0)</f>
        <v>0</v>
      </c>
      <c r="R232" s="97">
        <f>Doubles!G$22</f>
        <v>21</v>
      </c>
      <c r="S232" s="95">
        <f>IF(AND(H232=H$22,LEN(H232)&gt;1,Q232=1),1,0)</f>
        <v>0</v>
      </c>
      <c r="V232" s="97">
        <f>VLOOKUP(21,R212:S235,2,0)</f>
        <v>0</v>
      </c>
      <c r="W232" s="95">
        <v>21</v>
      </c>
    </row>
    <row r="233" spans="1:29">
      <c r="A233" s="95">
        <v>22</v>
      </c>
      <c r="B233" s="95">
        <f>IF(Doubles!I85="",0,Doubles!I85)</f>
        <v>0</v>
      </c>
      <c r="C233" s="99" t="str">
        <f>IF(OR(LEFT(B233,LEN(B$23))=B$23,LEFT(B233,LEN(C$23))=C$23,LEN(B233)&lt;2),"",IF(B233="no pick","","Wrong pick"))</f>
        <v/>
      </c>
      <c r="E233" s="95">
        <f t="shared" si="78"/>
        <v>0</v>
      </c>
      <c r="G233" s="95" t="str">
        <f>IF(B233=0,"",IF(B233="no pick","No Pick",IF(LEFT(B233,LEN(B$23))=B$23,B$23,C$23)))</f>
        <v/>
      </c>
      <c r="H233" s="95" t="str">
        <f t="shared" si="79"/>
        <v>0-0</v>
      </c>
      <c r="J233" s="95">
        <f>D$23</f>
        <v>0</v>
      </c>
      <c r="K233" s="95" t="str">
        <f t="shared" si="80"/>
        <v>SR</v>
      </c>
      <c r="L233" s="95" t="str">
        <f t="shared" si="81"/>
        <v>0</v>
      </c>
      <c r="M233" s="95" t="str">
        <f t="shared" si="82"/>
        <v>0</v>
      </c>
      <c r="N233" s="95" t="str">
        <f t="shared" si="83"/>
        <v>0</v>
      </c>
      <c r="O233" s="95" t="str">
        <f t="shared" si="84"/>
        <v>0</v>
      </c>
      <c r="P233" s="95" t="str">
        <f t="shared" si="85"/>
        <v>0</v>
      </c>
      <c r="Q233" s="95">
        <f>IF(AND(G233=T$23,LEN(G233)&gt;1),1,0)</f>
        <v>0</v>
      </c>
      <c r="R233" s="97">
        <f>Doubles!G$23</f>
        <v>22</v>
      </c>
      <c r="S233" s="95">
        <f>IF(AND(H233=H$23,LEN(H233)&gt;1,Q233=1),1,0)</f>
        <v>0</v>
      </c>
      <c r="V233" s="97">
        <f>VLOOKUP(22,R212:S235,2,0)</f>
        <v>0</v>
      </c>
      <c r="W233" s="95">
        <v>22</v>
      </c>
    </row>
    <row r="234" spans="1:29">
      <c r="A234" s="95">
        <v>23</v>
      </c>
      <c r="B234" s="95">
        <f>IF(Doubles!I86="",0,Doubles!I86)</f>
        <v>0</v>
      </c>
      <c r="C234" s="99" t="str">
        <f>IF(OR(LEFT(B234,LEN(B$24))=B$24,LEFT(B234,LEN(C$24))=C$24,LEN(B234)&lt;2),"",IF(B234="no pick","","Wrong pick"))</f>
        <v/>
      </c>
      <c r="E234" s="95">
        <f t="shared" si="78"/>
        <v>0</v>
      </c>
      <c r="G234" s="95" t="str">
        <f>IF(B234=0,"",IF(B234="no pick","No Pick",IF(LEFT(B234,LEN(B$24))=B$24,B$24,C$24)))</f>
        <v/>
      </c>
      <c r="H234" s="95" t="str">
        <f t="shared" si="79"/>
        <v>0-0</v>
      </c>
      <c r="J234" s="95">
        <f>D$24</f>
        <v>0</v>
      </c>
      <c r="K234" s="95" t="str">
        <f t="shared" si="80"/>
        <v>SR</v>
      </c>
      <c r="L234" s="95" t="str">
        <f t="shared" si="81"/>
        <v>0</v>
      </c>
      <c r="M234" s="95" t="str">
        <f t="shared" si="82"/>
        <v>0</v>
      </c>
      <c r="N234" s="95" t="str">
        <f t="shared" si="83"/>
        <v>0</v>
      </c>
      <c r="O234" s="95" t="str">
        <f t="shared" si="84"/>
        <v>0</v>
      </c>
      <c r="P234" s="95" t="str">
        <f t="shared" si="85"/>
        <v>0</v>
      </c>
      <c r="Q234" s="95">
        <f>IF(AND(G234=T$24,LEN(G234)&gt;1),1,0)</f>
        <v>0</v>
      </c>
      <c r="R234" s="97">
        <f>Doubles!G$24</f>
        <v>23</v>
      </c>
      <c r="S234" s="95">
        <f>IF(AND(H234=H$24,LEN(H234)&gt;1,Q234=1),1,0)</f>
        <v>0</v>
      </c>
      <c r="V234" s="97">
        <f>VLOOKUP(23,R212:S235,2,0)</f>
        <v>0</v>
      </c>
      <c r="W234" s="95">
        <v>23</v>
      </c>
    </row>
    <row r="235" spans="1:29">
      <c r="A235" s="95">
        <v>24</v>
      </c>
      <c r="B235" s="95">
        <f>IF(Doubles!I87="",0,Doubles!I87)</f>
        <v>0</v>
      </c>
      <c r="C235" s="99" t="str">
        <f>IF(OR(LEFT(B235,LEN(B$25))=B$25,LEFT(B235,LEN(C$25))=C$25,LEN(B235)&lt;2),"",IF(B235="no pick","","Wrong pick"))</f>
        <v/>
      </c>
      <c r="E235" s="95">
        <f t="shared" si="78"/>
        <v>0</v>
      </c>
      <c r="G235" s="95" t="str">
        <f>IF(B235=0,"",IF(B235="no pick","No Pick",IF(LEFT(B235,LEN(B$25))=B$25,B$25,C$25)))</f>
        <v/>
      </c>
      <c r="H235" s="95" t="str">
        <f t="shared" si="79"/>
        <v>0-0</v>
      </c>
      <c r="J235" s="95">
        <f>D$25</f>
        <v>0</v>
      </c>
      <c r="K235" s="95" t="str">
        <f t="shared" si="80"/>
        <v>SR</v>
      </c>
      <c r="L235" s="95" t="str">
        <f t="shared" si="81"/>
        <v>0</v>
      </c>
      <c r="M235" s="95" t="str">
        <f t="shared" si="82"/>
        <v>0</v>
      </c>
      <c r="N235" s="95" t="str">
        <f t="shared" si="83"/>
        <v>0</v>
      </c>
      <c r="O235" s="95" t="str">
        <f t="shared" si="84"/>
        <v>0</v>
      </c>
      <c r="P235" s="95" t="str">
        <f t="shared" si="85"/>
        <v>0</v>
      </c>
      <c r="Q235" s="95">
        <f>IF(AND(G235=T$25,LEN(G235)&gt;1),1,0)</f>
        <v>0</v>
      </c>
      <c r="R235" s="97">
        <f>Doubles!G$25</f>
        <v>24</v>
      </c>
      <c r="S235" s="95">
        <f>IF(AND(H235=H$25,LEN(H235)&gt;1,Q235=1),1,0)</f>
        <v>0</v>
      </c>
      <c r="V235" s="97">
        <f>VLOOKUP(24,R212:S235,2,0)</f>
        <v>0</v>
      </c>
      <c r="W235" s="95">
        <v>24</v>
      </c>
    </row>
    <row r="236" spans="1:29">
      <c r="A236" s="106"/>
      <c r="B236" s="106"/>
      <c r="C236" s="107"/>
      <c r="D236" s="106"/>
      <c r="E236" s="106"/>
      <c r="Q236" s="106"/>
      <c r="R236" s="106"/>
      <c r="S236" s="106"/>
      <c r="W236" s="95">
        <v>25</v>
      </c>
    </row>
    <row r="237" spans="1:29">
      <c r="A237" s="95">
        <f>IF(LEN(VLOOKUP(B237,Doubles!$A$2:$D$17,4,0))&gt;0,VLOOKUP(B237,Doubles!$A$2:$D$17,4,0),"")</f>
        <v>2</v>
      </c>
      <c r="B237" s="96" t="str">
        <f>Doubles!J63</f>
        <v>BrazilTBfan</v>
      </c>
      <c r="C237" s="96">
        <v>1</v>
      </c>
      <c r="D237" s="95" t="str">
        <f>VLOOKUP(B237,Doubles!$A$2:$E$17,5,0)</f>
        <v>GRE</v>
      </c>
      <c r="E237" s="95" t="s">
        <v>124</v>
      </c>
      <c r="J237" s="95" t="s">
        <v>88</v>
      </c>
      <c r="Q237" s="95" t="s">
        <v>121</v>
      </c>
      <c r="S237" s="95" t="s">
        <v>122</v>
      </c>
      <c r="T237" s="95" t="str">
        <f>IF(LEN(A237)&gt;0,"("&amp;A237&amp;") "&amp;B237,B237)</f>
        <v>(2) BrazilTBfan</v>
      </c>
      <c r="V237" s="95" t="s">
        <v>122</v>
      </c>
      <c r="W237" s="95" t="str">
        <f>""</f>
        <v/>
      </c>
    </row>
    <row r="238" spans="1:29">
      <c r="A238" s="95">
        <v>1</v>
      </c>
      <c r="B238" s="95">
        <f>IF(Doubles!J64="",0,Doubles!J64)</f>
        <v>0</v>
      </c>
      <c r="C238" s="99" t="str">
        <f>IF(OR(LEFT(B238,LEN(B$2))=B$2,LEFT(B238,LEN(C$2))=C$2,LEN(B238)&lt;2),"",IF(B238="no pick","","Wrong pick"))</f>
        <v/>
      </c>
      <c r="D238" s="95">
        <f t="shared" ref="D238:D261" si="86">IF(G238=G264,0,1)</f>
        <v>0</v>
      </c>
      <c r="E238" s="95">
        <f t="shared" ref="E238:E261" si="87">IF(AND($I$2=J238,B238=0),1,0)</f>
        <v>1</v>
      </c>
      <c r="F238" s="95" t="str">
        <f>IF(AND(SUM(E238:E261)=$I$4,NOT(B237="Bye")),"Missing picks from "&amp;B237&amp;" ","")</f>
        <v xml:space="preserve">Missing picks from BrazilTBfan </v>
      </c>
      <c r="G238" s="95" t="str">
        <f>IF(B238=0,"",IF(B238="no pick","No Pick",IF(LEFT(B238,LEN(B$2))=B$2,B$2,C$2)))</f>
        <v/>
      </c>
      <c r="H238" s="95" t="str">
        <f t="shared" ref="H238:H261" si="88">IF(L238="","",IF(K238="PTS",IF(LEN(O238)&lt;8,"2-0","2-1"),LEFT(O238,1)&amp;"-"&amp;RIGHT(O238,1)))</f>
        <v>0-0</v>
      </c>
      <c r="I238" s="95" t="str">
        <f>IF(AND(J238=$I$2,F$2=0,NOT(E$2="")),IF(OR(AND(Y238=AA238,Z238=AB238),AND(Y238=AB238,Z238=AA238)),"",IF(AND(Y238=Z238,AA238=AB238),Y238&amp;" +2 v. "&amp;AA238&amp;" +2, ",IF(Y238=AA238,Z238&amp;" v. "&amp;AB238&amp;", ",IF(Z238=AB238,Y238&amp;" v. "&amp;AA238&amp;", ",IF(Y238=AB238,Z238&amp;" v. "&amp;AA238&amp;", ",IF(Z238=AA238,Y238&amp;" v. "&amp;AB238&amp;", ",Y238&amp;" v. "&amp;AA238&amp;", "&amp;Z238&amp;" v. "&amp;AB238&amp;", ")))))),"")</f>
        <v xml:space="preserve">Ghem 2-0 v. Ghem , </v>
      </c>
      <c r="J238" s="97">
        <f>D$2</f>
        <v>1</v>
      </c>
      <c r="K238" s="95" t="str">
        <f t="shared" ref="K238:K261" si="89">IF(LEN(L238)&gt;0,IF(LEN(O238)&lt;4,"SR","PTS"),"")</f>
        <v>SR</v>
      </c>
      <c r="L238" s="95" t="str">
        <f t="shared" ref="L238:L261" si="90">TRIM(RIGHT(B238,LEN(B238)-LEN(G238)))</f>
        <v>0</v>
      </c>
      <c r="M238" s="95" t="str">
        <f t="shared" ref="M238:M261" si="91">SUBSTITUTE(L238,"-","")</f>
        <v>0</v>
      </c>
      <c r="N238" s="95" t="str">
        <f t="shared" ref="N238:N261" si="92">SUBSTITUTE(M238,","," ")</f>
        <v>0</v>
      </c>
      <c r="O238" s="95" t="str">
        <f t="shared" ref="O238:O261" si="93">IF(AND(LEN(TRIM(SUBSTITUTE(P238,"/","")))&gt;6,OR(LEFT(TRIM(SUBSTITUTE(P238,"/","")),2)="20",LEFT(TRIM(SUBSTITUTE(P238,"/","")),2)="21")),RIGHT(TRIM(SUBSTITUTE(P238,"/","")),LEN(TRIM(SUBSTITUTE(P238,"/","")))-3),TRIM(SUBSTITUTE(P238,"/","")))</f>
        <v>0</v>
      </c>
      <c r="P238" s="95" t="str">
        <f t="shared" ref="P238:P261" si="94">SUBSTITUTE(N238,":","")</f>
        <v>0</v>
      </c>
      <c r="Q238" s="95">
        <f>IF(AND(G238=T$2,LEN(G238)&gt;1),1,0)</f>
        <v>0</v>
      </c>
      <c r="R238" s="97">
        <f>Doubles!G$2</f>
        <v>1</v>
      </c>
      <c r="S238" s="95">
        <f>IF(AND(H238=H$2,LEN(H238)&gt;1,Q238=1),1,0)</f>
        <v>0</v>
      </c>
      <c r="T238" s="95" t="str">
        <f>" SR Differences: "&amp;IF(LEN(I238&amp;I239&amp;I240&amp;I241&amp;I242&amp;I243&amp;I244&amp;I245&amp;I246&amp;I247&amp;I248&amp;I249&amp;I250&amp;I251&amp;I252&amp;I253&amp;I254&amp;I255&amp;I256&amp;I257&amp;I258&amp;I259&amp;I260&amp;I261)&lt;3,"None..",I238&amp;I239&amp;I240&amp;I241&amp;I242&amp;I243&amp;I244&amp;I245&amp;I246&amp;I247&amp;I248&amp;I249&amp;I250&amp;I251&amp;I252&amp;I253&amp;I254&amp;I255&amp;I256&amp;I257&amp;I258&amp;I259&amp;I260&amp;I261)</f>
        <v xml:space="preserve"> SR Differences: Ghem 2-0 v. Ghem , Machado 2-0 v. Machado  - , Junqueira 2-0 v. Junqueira , Laranja 2-0 v. Gaio , PODLIPBIK-CASTILLO 2-0 v. PODLIPBIK-CASTILLO , Duran 2-1 v. Lindell , Michon 2-1 v. Michon , gonzalez 2-1 v. gonzalez , pereira 2-0 v. pereira , collinari 2-0 v. matos , giner 2-0 v. giner , galdon 2-1 v. galdon , lobkov 2-0 v. lobkov , Fligia 2-1 v. santos , blumenberg 2-1 v. santos , lojda 2-0 v. lojda , </v>
      </c>
      <c r="V238" s="97">
        <f>VLOOKUP(1,R238:S261,2,0)</f>
        <v>0</v>
      </c>
      <c r="W238" s="95" t="str">
        <f t="shared" ref="W238:W261" si="95">IF(J238=$I$2,IF(OR(G238&amp;G290=G264&amp;G316,G238&amp;G290=G316&amp;G264),"",IF(G238=G290,G238,IF(OR(G238=G264,G238=G316),G290,IF(OR(G290=G264,G290=G316),G238,G238&amp;", "&amp;G290)))),"")</f>
        <v/>
      </c>
      <c r="X238" s="95">
        <f>IF(F$2=0,IF(AND(G238=G290,NOT(G238=G264),NOT(G238=G316),LEN(W238)&gt;0),2,IF(LEN(W238)=0,0,1)),0)</f>
        <v>0</v>
      </c>
      <c r="Y238" s="95" t="str">
        <f t="shared" ref="Y238:Y261" si="96">G238&amp;" "&amp;H238</f>
        <v xml:space="preserve"> 0-0</v>
      </c>
      <c r="Z238" s="95" t="str">
        <f t="shared" ref="Z238:Z261" si="97">G290&amp;" "&amp;H290</f>
        <v>Ghem 2-0</v>
      </c>
      <c r="AA238" s="95" t="str">
        <f t="shared" ref="AA238:AA261" si="98">G264&amp;" "&amp;H264</f>
        <v xml:space="preserve"> 0-0</v>
      </c>
      <c r="AB238" s="95" t="str">
        <f t="shared" ref="AB238:AB261" si="99">G316&amp;" "&amp;H316</f>
        <v xml:space="preserve">Ghem </v>
      </c>
      <c r="AC238" s="95" t="str">
        <f>IF(AND(LEN(W238)&gt;0,F$2=0),IF(X238=2,W238&amp;" +2, ",W238&amp;", "),"")</f>
        <v/>
      </c>
    </row>
    <row r="239" spans="1:29">
      <c r="A239" s="95">
        <v>2</v>
      </c>
      <c r="B239" s="95">
        <f>IF(Doubles!J65="",0,Doubles!J65)</f>
        <v>0</v>
      </c>
      <c r="C239" s="99" t="str">
        <f>IF(OR(LEFT(B239,LEN(B$3))=B$3,LEFT(B239,LEN(C$3))=C$3,LEN(B239)&lt;2),"",IF(B239="no pick","","Wrong pick"))</f>
        <v/>
      </c>
      <c r="D239" s="95">
        <f t="shared" si="86"/>
        <v>0</v>
      </c>
      <c r="E239" s="95">
        <f t="shared" si="87"/>
        <v>1</v>
      </c>
      <c r="G239" s="95" t="str">
        <f>IF(B239=0,"",IF(B239="no pick","No Pick",IF(LEFT(B239,LEN(B$3))=B$3,B$3,C$3)))</f>
        <v/>
      </c>
      <c r="H239" s="95" t="str">
        <f t="shared" si="88"/>
        <v>0-0</v>
      </c>
      <c r="I239" s="95" t="str">
        <f>IF(AND(J239=$I$2,F$3=0,NOT(E$3="")),IF(OR(AND(Y239=AA239,Z239=AB239),AND(Y239=AB239,Z239=AA239)),"",IF(AND(Y239=Z239,AA239=AB239),Y239&amp;" +2 v. "&amp;AA239&amp;" +2, ",IF(Y239=AA239,Z239&amp;" v. "&amp;AB239&amp;", ",IF(Z239=AB239,Y239&amp;" v. "&amp;AA239&amp;", ",IF(Y239=AB239,Z239&amp;" v. "&amp;AA239&amp;", ",IF(Z239=AA239,Y239&amp;" v. "&amp;AB239&amp;", ",Y239&amp;" v. "&amp;AA239&amp;", "&amp;Z239&amp;" v. "&amp;AB239&amp;", ")))))),"")</f>
        <v xml:space="preserve">Machado 2-0 v. Machado  - , </v>
      </c>
      <c r="J239" s="97">
        <f>D$3</f>
        <v>1</v>
      </c>
      <c r="K239" s="95" t="str">
        <f t="shared" si="89"/>
        <v>SR</v>
      </c>
      <c r="L239" s="95" t="str">
        <f t="shared" si="90"/>
        <v>0</v>
      </c>
      <c r="M239" s="95" t="str">
        <f t="shared" si="91"/>
        <v>0</v>
      </c>
      <c r="N239" s="95" t="str">
        <f t="shared" si="92"/>
        <v>0</v>
      </c>
      <c r="O239" s="95" t="str">
        <f t="shared" si="93"/>
        <v>0</v>
      </c>
      <c r="P239" s="95" t="str">
        <f t="shared" si="94"/>
        <v>0</v>
      </c>
      <c r="Q239" s="95">
        <f>IF(AND(G239=T$3,LEN(G239)&gt;1),1,0)</f>
        <v>0</v>
      </c>
      <c r="R239" s="97">
        <f>Doubles!G$3</f>
        <v>2</v>
      </c>
      <c r="S239" s="95">
        <f>IF(AND(H239=H$3,LEN(H239)&gt;1,Q239=1),1,0)</f>
        <v>0</v>
      </c>
      <c r="V239" s="97">
        <f>VLOOKUP(2,R238:S261,2,0)</f>
        <v>0</v>
      </c>
      <c r="W239" s="95" t="str">
        <f t="shared" si="95"/>
        <v/>
      </c>
      <c r="X239" s="95">
        <f>IF(F$3=0,IF(AND(G239=G291,NOT(G239=G265),NOT(G239=G317),LEN(W239)&gt;0),2,IF(LEN(W239)=0,0,1)),0)</f>
        <v>0</v>
      </c>
      <c r="Y239" s="95" t="str">
        <f t="shared" si="96"/>
        <v xml:space="preserve"> 0-0</v>
      </c>
      <c r="Z239" s="95" t="str">
        <f t="shared" si="97"/>
        <v>Machado 2-0</v>
      </c>
      <c r="AA239" s="95" t="str">
        <f t="shared" si="98"/>
        <v xml:space="preserve"> 0-0</v>
      </c>
      <c r="AB239" s="95" t="str">
        <f t="shared" si="99"/>
        <v>Machado  - </v>
      </c>
      <c r="AC239" s="95" t="str">
        <f>IF(AND(LEN(W239)&gt;0,F$3=0),IF(X239=2,W239&amp;" +2, ",W239&amp;", "),"")</f>
        <v/>
      </c>
    </row>
    <row r="240" spans="1:29">
      <c r="A240" s="95">
        <v>3</v>
      </c>
      <c r="B240" s="95">
        <f>IF(Doubles!J66="",0,Doubles!J66)</f>
        <v>0</v>
      </c>
      <c r="C240" s="99" t="str">
        <f>IF(OR(LEFT(B240,LEN(B$4))=B$4,LEFT(B240,LEN(C$4))=C$4,LEN(B240)&lt;2),"",IF(B240="no pick","","Wrong pick"))</f>
        <v/>
      </c>
      <c r="D240" s="95">
        <f t="shared" si="86"/>
        <v>0</v>
      </c>
      <c r="E240" s="95">
        <f t="shared" si="87"/>
        <v>1</v>
      </c>
      <c r="G240" s="95" t="str">
        <f>IF(B240=0,"",IF(B240="no pick","No Pick",IF(LEFT(B240,LEN(B$4))=B$4,B$4,C$4)))</f>
        <v/>
      </c>
      <c r="H240" s="95" t="str">
        <f t="shared" si="88"/>
        <v>0-0</v>
      </c>
      <c r="I240" s="95" t="str">
        <f>IF(AND(J240=$I$2,F$4=0,NOT(E$4="")),IF(OR(AND(Y240=AA240,Z240=AB240),AND(Y240=AB240,Z240=AA240)),"",IF(AND(Y240=Z240,AA240=AB240),Y240&amp;" +2 v. "&amp;AA240&amp;" +2, ",IF(Y240=AA240,Z240&amp;" v. "&amp;AB240&amp;", ",IF(Z240=AB240,Y240&amp;" v. "&amp;AA240&amp;", ",IF(Y240=AB240,Z240&amp;" v. "&amp;AA240&amp;", ",IF(Z240=AA240,Y240&amp;" v. "&amp;AB240&amp;", ",Y240&amp;" v. "&amp;AA240&amp;", "&amp;Z240&amp;" v. "&amp;AB240&amp;", ")))))),"")</f>
        <v xml:space="preserve">Junqueira 2-0 v. Junqueira , </v>
      </c>
      <c r="J240" s="97">
        <f>D$4</f>
        <v>1</v>
      </c>
      <c r="K240" s="95" t="str">
        <f t="shared" si="89"/>
        <v>SR</v>
      </c>
      <c r="L240" s="95" t="str">
        <f t="shared" si="90"/>
        <v>0</v>
      </c>
      <c r="M240" s="95" t="str">
        <f t="shared" si="91"/>
        <v>0</v>
      </c>
      <c r="N240" s="95" t="str">
        <f t="shared" si="92"/>
        <v>0</v>
      </c>
      <c r="O240" s="95" t="str">
        <f t="shared" si="93"/>
        <v>0</v>
      </c>
      <c r="P240" s="95" t="str">
        <f t="shared" si="94"/>
        <v>0</v>
      </c>
      <c r="Q240" s="95">
        <f>IF(AND(G240=T$4,LEN(G240)&gt;1),1,0)</f>
        <v>0</v>
      </c>
      <c r="R240" s="97">
        <f>Doubles!G$4</f>
        <v>3</v>
      </c>
      <c r="S240" s="95">
        <f>IF(AND(H240=H$4,LEN(H240)&gt;1,Q240=1),1,0)</f>
        <v>0</v>
      </c>
      <c r="T240" s="101">
        <f>SUMIF(J238:J261,$I$2,X238:X261)</f>
        <v>5</v>
      </c>
      <c r="V240" s="97">
        <f>VLOOKUP(3,R238:S261,2,0)</f>
        <v>0</v>
      </c>
      <c r="W240" s="95" t="str">
        <f t="shared" si="95"/>
        <v/>
      </c>
      <c r="X240" s="95">
        <f>IF(F$4=0,IF(AND(G240=G292,NOT(G240=G266),NOT(G240=G318),LEN(W240)&gt;0),2,IF(LEN(W240)=0,0,1)),0)</f>
        <v>0</v>
      </c>
      <c r="Y240" s="95" t="str">
        <f t="shared" si="96"/>
        <v xml:space="preserve"> 0-0</v>
      </c>
      <c r="Z240" s="95" t="str">
        <f t="shared" si="97"/>
        <v>Junqueira 2-0</v>
      </c>
      <c r="AA240" s="95" t="str">
        <f t="shared" si="98"/>
        <v xml:space="preserve"> 0-0</v>
      </c>
      <c r="AB240" s="95" t="str">
        <f t="shared" si="99"/>
        <v xml:space="preserve">Junqueira </v>
      </c>
      <c r="AC240" s="95" t="str">
        <f>IF(AND(LEN(W240)&gt;0,F$4=0),IF(X240=2,W240&amp;" +2, ",W240&amp;", "),"")</f>
        <v/>
      </c>
    </row>
    <row r="241" spans="1:29">
      <c r="A241" s="95">
        <v>4</v>
      </c>
      <c r="B241" s="95">
        <f>IF(Doubles!J67="",0,Doubles!J67)</f>
        <v>0</v>
      </c>
      <c r="C241" s="99" t="str">
        <f>IF(OR(LEFT(B241,LEN(B$5))=B$5,LEFT(B241,LEN(C$5))=C$5,LEN(B241)&lt;2),"",IF(B241="no pick","","Wrong pick"))</f>
        <v/>
      </c>
      <c r="D241" s="95">
        <f t="shared" si="86"/>
        <v>0</v>
      </c>
      <c r="E241" s="95">
        <f t="shared" si="87"/>
        <v>1</v>
      </c>
      <c r="G241" s="95" t="str">
        <f>IF(B241=0,"",IF(B241="no pick","No Pick",IF(LEFT(B241,LEN(B$5))=B$5,B$5,C$5)))</f>
        <v/>
      </c>
      <c r="H241" s="95" t="str">
        <f t="shared" si="88"/>
        <v>0-0</v>
      </c>
      <c r="I241" s="95" t="str">
        <f>IF(AND(J241=$I$2,F$5=0,NOT(E$5="")),IF(OR(AND(Y241=AA241,Z241=AB241),AND(Y241=AB241,Z241=AA241)),"",IF(AND(Y241=Z241,AA241=AB241),Y241&amp;" +2 v. "&amp;AA241&amp;" +2, ",IF(Y241=AA241,Z241&amp;" v. "&amp;AB241&amp;", ",IF(Z241=AB241,Y241&amp;" v. "&amp;AA241&amp;", ",IF(Y241=AB241,Z241&amp;" v. "&amp;AA241&amp;", ",IF(Z241=AA241,Y241&amp;" v. "&amp;AB241&amp;", ",Y241&amp;" v. "&amp;AA241&amp;", "&amp;Z241&amp;" v. "&amp;AB241&amp;", ")))))),"")</f>
        <v xml:space="preserve">Laranja 2-0 v. Gaio , </v>
      </c>
      <c r="J241" s="97">
        <f>D$5</f>
        <v>1</v>
      </c>
      <c r="K241" s="95" t="str">
        <f t="shared" si="89"/>
        <v>SR</v>
      </c>
      <c r="L241" s="95" t="str">
        <f t="shared" si="90"/>
        <v>0</v>
      </c>
      <c r="M241" s="95" t="str">
        <f t="shared" si="91"/>
        <v>0</v>
      </c>
      <c r="N241" s="95" t="str">
        <f t="shared" si="92"/>
        <v>0</v>
      </c>
      <c r="O241" s="95" t="str">
        <f t="shared" si="93"/>
        <v>0</v>
      </c>
      <c r="P241" s="95" t="str">
        <f t="shared" si="94"/>
        <v>0</v>
      </c>
      <c r="Q241" s="95">
        <f>IF(AND(G241=T$5,LEN(G241)&gt;1),1,0)</f>
        <v>0</v>
      </c>
      <c r="R241" s="97">
        <f>Doubles!G$5</f>
        <v>4</v>
      </c>
      <c r="S241" s="95">
        <f>IF(AND(H241=H$5,LEN(H241)&gt;1,Q241=1),1,0)</f>
        <v>0</v>
      </c>
      <c r="T241" s="95" t="s">
        <v>113</v>
      </c>
      <c r="U241" s="95" t="str">
        <f>IF(COUNTIF(C238:C339,"=Wrong Pick")&gt;0,"Incorrect pick, probably a spelling mistake",IF(T247&lt;10,"0","")&amp;T247&amp;":"&amp;IF(T248&lt;10,"0","")&amp;T248&amp;" | [b]"&amp;IF(LEN(U242)&gt;0,U242,T237&amp;"/"&amp;T289&amp;IF(LEN(D237)&gt;1," ("&amp;D237&amp;"/"&amp;D289&amp;")","")&amp;"[/b] vs. [b]"&amp;T263&amp;"/"&amp;T315&amp;IF(LEN(D263)&gt;1," ("&amp;D263&amp;"/"&amp;D315&amp;")","")&amp;"[/b]"&amp;IF(Doubles!$D$21&gt;1," (SR "&amp;U247&amp;":"&amp;U248&amp;")","")&amp;" - "&amp;IF(AND(F238="",F264="",F290="",F316=""),IF(LEN(U293)&gt;1,LEFT(U293,LEN(U293)-2)&amp;" vs. "&amp;LEFT(U294,LEN(U294)-2),IF(SUM(F$2:F$25)=0,"Same Winners; ",""))&amp;IF(AND(OR(AND(Doubles!$D$20&gt;1,Doubles!$D$21&lt;Doubles!$D$20),MOD(T240+T247+T248,2)=0),NOT(Doubles!$D$23="No")),LEFT(T238,LEN(T238)-2),""),F238&amp;F264&amp;F290&amp;F316)))</f>
        <v xml:space="preserve">00:00 | [b](2) BrazilTBfan/RNW (GRE/SUI)[/b] vs. [b]Thales de Mileto/AeronW (BRA/XXX)[/b] - Missing picks from BrazilTBfan Missing picks from Thales de Mileto </v>
      </c>
      <c r="V241" s="97">
        <f>VLOOKUP(4,R238:S261,2,0)</f>
        <v>0</v>
      </c>
      <c r="W241" s="95" t="str">
        <f t="shared" si="95"/>
        <v>Laranja</v>
      </c>
      <c r="X241" s="95">
        <f>IF(F$5=0,IF(AND(G241=G293,NOT(G241=G267),NOT(G241=G319),LEN(W241)&gt;0),2,IF(LEN(W241)=0,0,1)),0)</f>
        <v>1</v>
      </c>
      <c r="Y241" s="95" t="str">
        <f t="shared" si="96"/>
        <v xml:space="preserve"> 0-0</v>
      </c>
      <c r="Z241" s="95" t="str">
        <f t="shared" si="97"/>
        <v>Laranja 2-0</v>
      </c>
      <c r="AA241" s="95" t="str">
        <f t="shared" si="98"/>
        <v xml:space="preserve"> 0-0</v>
      </c>
      <c r="AB241" s="95" t="str">
        <f t="shared" si="99"/>
        <v xml:space="preserve">Gaio </v>
      </c>
      <c r="AC241" s="95" t="str">
        <f>IF(AND(LEN(W241)&gt;0,F$5=0),IF(X241=2,W241&amp;" +2, ",W241&amp;", "),"")</f>
        <v xml:space="preserve">Laranja, </v>
      </c>
    </row>
    <row r="242" spans="1:29">
      <c r="A242" s="95">
        <v>5</v>
      </c>
      <c r="B242" s="95">
        <f>IF(Doubles!J68="",0,Doubles!J68)</f>
        <v>0</v>
      </c>
      <c r="C242" s="99" t="str">
        <f>IF(OR(LEFT(B242,LEN(B$6))=B$6,LEFT(B242,LEN(C$6))=C$6,LEN(B242)&lt;2),"",IF(B242="no pick","","Wrong pick"))</f>
        <v/>
      </c>
      <c r="D242" s="95">
        <f t="shared" si="86"/>
        <v>0</v>
      </c>
      <c r="E242" s="95">
        <f t="shared" si="87"/>
        <v>1</v>
      </c>
      <c r="G242" s="95" t="str">
        <f>IF(B242=0,"",IF(B242="no pick","No Pick",IF(LEFT(B242,LEN(B$6))=B$6,B$6,C$6)))</f>
        <v/>
      </c>
      <c r="H242" s="95" t="str">
        <f t="shared" si="88"/>
        <v>0-0</v>
      </c>
      <c r="I242" s="95" t="str">
        <f>IF(AND(J242=$I$2,F$6=0,NOT(E$6="")),IF(OR(AND(Y242=AA242,Z242=AB242),AND(Y242=AB242,Z242=AA242)),"",IF(AND(Y242=Z242,AA242=AB242),Y242&amp;" +2 v. "&amp;AA242&amp;" +2, ",IF(Y242=AA242,Z242&amp;" v. "&amp;AB242&amp;", ",IF(Z242=AB242,Y242&amp;" v. "&amp;AA242&amp;", ",IF(Y242=AB242,Z242&amp;" v. "&amp;AA242&amp;", ",IF(Z242=AA242,Y242&amp;" v. "&amp;AB242&amp;", ",Y242&amp;" v. "&amp;AA242&amp;", "&amp;Z242&amp;" v. "&amp;AB242&amp;", ")))))),"")</f>
        <v xml:space="preserve">PODLIPBIK-CASTILLO 2-0 v. PODLIPBIK-CASTILLO , </v>
      </c>
      <c r="J242" s="97">
        <f>D$6</f>
        <v>1</v>
      </c>
      <c r="K242" s="95" t="str">
        <f t="shared" si="89"/>
        <v>SR</v>
      </c>
      <c r="L242" s="95" t="str">
        <f t="shared" si="90"/>
        <v>0</v>
      </c>
      <c r="M242" s="95" t="str">
        <f t="shared" si="91"/>
        <v>0</v>
      </c>
      <c r="N242" s="95" t="str">
        <f t="shared" si="92"/>
        <v>0</v>
      </c>
      <c r="O242" s="95" t="str">
        <f t="shared" si="93"/>
        <v>0</v>
      </c>
      <c r="P242" s="95" t="str">
        <f t="shared" si="94"/>
        <v>0</v>
      </c>
      <c r="Q242" s="95">
        <f>IF(AND(G242=T$6,LEN(G242)&gt;1),1,0)</f>
        <v>0</v>
      </c>
      <c r="R242" s="97">
        <f>Doubles!G$6</f>
        <v>5</v>
      </c>
      <c r="S242" s="95">
        <f>IF(AND(H242=H$6,LEN(H242)&gt;1,Q242=1),1,0)</f>
        <v>0</v>
      </c>
      <c r="U242" s="95" t="str">
        <f>IF(B237="Bye","Bye[/b] vs. [b][color=blue]"&amp;T263&amp;"/"&amp;T315&amp;IF(LEN(D263)&gt;1," ("&amp;D263&amp;"/"&amp;D315&amp;")","")&amp;"[/color][/b]",IF(B263="Bye","[color=blue]"&amp;T237&amp;"/"&amp;T289&amp;IF(LEN(D237)&gt;1," ("&amp;D237&amp;"/"&amp;D289&amp;")","")&amp;"[/color][/b] vs. [b]Bye[/b]",""))</f>
        <v/>
      </c>
      <c r="V242" s="97">
        <f>VLOOKUP(5,R238:S261,2,0)</f>
        <v>0</v>
      </c>
      <c r="W242" s="95" t="str">
        <f t="shared" si="95"/>
        <v/>
      </c>
      <c r="X242" s="95">
        <f>IF(F$6=0,IF(AND(G242=G294,NOT(G242=G268),NOT(G242=G320),LEN(W242)&gt;0),2,IF(LEN(W242)=0,0,1)),0)</f>
        <v>0</v>
      </c>
      <c r="Y242" s="95" t="str">
        <f t="shared" si="96"/>
        <v xml:space="preserve"> 0-0</v>
      </c>
      <c r="Z242" s="95" t="str">
        <f t="shared" si="97"/>
        <v>PODLIPBIK-CASTILLO 2-0</v>
      </c>
      <c r="AA242" s="95" t="str">
        <f t="shared" si="98"/>
        <v xml:space="preserve"> 0-0</v>
      </c>
      <c r="AB242" s="95" t="str">
        <f t="shared" si="99"/>
        <v xml:space="preserve">PODLIPBIK-CASTILLO </v>
      </c>
      <c r="AC242" s="95" t="str">
        <f>IF(AND(LEN(W242)&gt;0,F$6=0),IF(X242=2,W242&amp;" +2, ",W242&amp;", "),"")</f>
        <v/>
      </c>
    </row>
    <row r="243" spans="1:29">
      <c r="A243" s="95">
        <v>6</v>
      </c>
      <c r="B243" s="95">
        <f>IF(Doubles!J69="",0,Doubles!J69)</f>
        <v>0</v>
      </c>
      <c r="C243" s="99" t="str">
        <f>IF(OR(LEFT(B243,LEN(B$7))=B$7,LEFT(B243,LEN(C$7))=C$7,LEN(B243)&lt;2),"",IF(B243="no pick","","Wrong pick"))</f>
        <v/>
      </c>
      <c r="D243" s="95">
        <f t="shared" si="86"/>
        <v>0</v>
      </c>
      <c r="E243" s="95">
        <f t="shared" si="87"/>
        <v>1</v>
      </c>
      <c r="G243" s="95" t="str">
        <f>IF(B243=0,"",IF(B243="no pick","No Pick",IF(LEFT(B243,LEN(B$7))=B$7,B$7,C$7)))</f>
        <v/>
      </c>
      <c r="H243" s="95" t="str">
        <f t="shared" si="88"/>
        <v>0-0</v>
      </c>
      <c r="I243" s="95" t="str">
        <f>IF(AND(J243=$I$2,F$7=0,NOT(E$7="")),IF(OR(AND(Y243=AA243,Z243=AB243),AND(Y243=AB243,Z243=AA243)),"",IF(AND(Y243=Z243,AA243=AB243),Y243&amp;" +2 v. "&amp;AA243&amp;" +2, ",IF(Y243=AA243,Z243&amp;" v. "&amp;AB243&amp;", ",IF(Z243=AB243,Y243&amp;" v. "&amp;AA243&amp;", ",IF(Y243=AB243,Z243&amp;" v. "&amp;AA243&amp;", ",IF(Z243=AA243,Y243&amp;" v. "&amp;AB243&amp;", ",Y243&amp;" v. "&amp;AA243&amp;", "&amp;Z243&amp;" v. "&amp;AB243&amp;", ")))))),"")</f>
        <v xml:space="preserve">Duran 2-1 v. Lindell , </v>
      </c>
      <c r="J243" s="97">
        <f>D$7</f>
        <v>1</v>
      </c>
      <c r="K243" s="95" t="str">
        <f t="shared" si="89"/>
        <v>SR</v>
      </c>
      <c r="L243" s="95" t="str">
        <f t="shared" si="90"/>
        <v>0</v>
      </c>
      <c r="M243" s="95" t="str">
        <f t="shared" si="91"/>
        <v>0</v>
      </c>
      <c r="N243" s="95" t="str">
        <f t="shared" si="92"/>
        <v>0</v>
      </c>
      <c r="O243" s="95" t="str">
        <f t="shared" si="93"/>
        <v>0</v>
      </c>
      <c r="P243" s="95" t="str">
        <f t="shared" si="94"/>
        <v>0</v>
      </c>
      <c r="Q243" s="95">
        <f>IF(AND(G243=T$7,LEN(G243)&gt;1),1,0)</f>
        <v>0</v>
      </c>
      <c r="R243" s="97">
        <f>Doubles!G$7</f>
        <v>6</v>
      </c>
      <c r="S243" s="95">
        <f>IF(AND(H243=H$7,LEN(H243)&gt;1,Q243=1),1,0)</f>
        <v>0</v>
      </c>
      <c r="T243" s="105">
        <f>SUM(Q238:Q261)</f>
        <v>0</v>
      </c>
      <c r="U243" s="97">
        <f>SUM(S238:S261)</f>
        <v>0</v>
      </c>
      <c r="V243" s="97">
        <f>VLOOKUP(6,R238:S261,2,0)</f>
        <v>0</v>
      </c>
      <c r="W243" s="95" t="str">
        <f t="shared" si="95"/>
        <v>Duran</v>
      </c>
      <c r="X243" s="95">
        <f>IF(F$7=0,IF(AND(G243=G295,NOT(G243=G269),NOT(G243=G321),LEN(W243)&gt;0),2,IF(LEN(W243)=0,0,1)),0)</f>
        <v>1</v>
      </c>
      <c r="Y243" s="95" t="str">
        <f t="shared" si="96"/>
        <v xml:space="preserve"> 0-0</v>
      </c>
      <c r="Z243" s="95" t="str">
        <f t="shared" si="97"/>
        <v>Duran 2-1</v>
      </c>
      <c r="AA243" s="95" t="str">
        <f t="shared" si="98"/>
        <v xml:space="preserve"> 0-0</v>
      </c>
      <c r="AB243" s="95" t="str">
        <f t="shared" si="99"/>
        <v xml:space="preserve">Lindell </v>
      </c>
      <c r="AC243" s="95" t="str">
        <f>IF(AND(LEN(W243)&gt;0,F$7=0),IF(X243=2,W243&amp;" +2, ",W243&amp;", "),"")</f>
        <v xml:space="preserve">Duran, </v>
      </c>
    </row>
    <row r="244" spans="1:29">
      <c r="A244" s="95">
        <v>7</v>
      </c>
      <c r="B244" s="95">
        <f>IF(Doubles!J70="",0,Doubles!J70)</f>
        <v>0</v>
      </c>
      <c r="C244" s="99" t="str">
        <f>IF(OR(LEFT(B244,LEN(B$8))=B$8,LEFT(B244,LEN(C$8))=C$8,LEN(B244)&lt;2),"",IF(B244="no pick","","Wrong pick"))</f>
        <v/>
      </c>
      <c r="D244" s="95">
        <f t="shared" si="86"/>
        <v>0</v>
      </c>
      <c r="E244" s="95">
        <f t="shared" si="87"/>
        <v>1</v>
      </c>
      <c r="G244" s="95" t="str">
        <f>IF(B244=0,"",IF(B244="no pick","No Pick",IF(LEFT(B244,LEN(B$8))=B$8,B$8,C$8)))</f>
        <v/>
      </c>
      <c r="H244" s="95" t="str">
        <f t="shared" si="88"/>
        <v>0-0</v>
      </c>
      <c r="I244" s="95" t="str">
        <f>IF(AND(J244=$I$2,F$8=0,NOT(E$8="")),IF(OR(AND(Y244=AA244,Z244=AB244),AND(Y244=AB244,Z244=AA244)),"",IF(AND(Y244=Z244,AA244=AB244),Y244&amp;" +2 v. "&amp;AA244&amp;" +2, ",IF(Y244=AA244,Z244&amp;" v. "&amp;AB244&amp;", ",IF(Z244=AB244,Y244&amp;" v. "&amp;AA244&amp;", ",IF(Y244=AB244,Z244&amp;" v. "&amp;AA244&amp;", ",IF(Z244=AA244,Y244&amp;" v. "&amp;AB244&amp;", ",Y244&amp;" v. "&amp;AA244&amp;", "&amp;Z244&amp;" v. "&amp;AB244&amp;", ")))))),"")</f>
        <v xml:space="preserve">Michon 2-1 v. Michon , </v>
      </c>
      <c r="J244" s="97">
        <f>D$8</f>
        <v>1</v>
      </c>
      <c r="K244" s="95" t="str">
        <f t="shared" si="89"/>
        <v>SR</v>
      </c>
      <c r="L244" s="95" t="str">
        <f t="shared" si="90"/>
        <v>0</v>
      </c>
      <c r="M244" s="95" t="str">
        <f t="shared" si="91"/>
        <v>0</v>
      </c>
      <c r="N244" s="95" t="str">
        <f t="shared" si="92"/>
        <v>0</v>
      </c>
      <c r="O244" s="95" t="str">
        <f t="shared" si="93"/>
        <v>0</v>
      </c>
      <c r="P244" s="95" t="str">
        <f t="shared" si="94"/>
        <v>0</v>
      </c>
      <c r="Q244" s="95">
        <f>IF(AND(G244=T$8,LEN(G244)&gt;1),1,0)</f>
        <v>0</v>
      </c>
      <c r="R244" s="97">
        <f>Doubles!G$8</f>
        <v>7</v>
      </c>
      <c r="S244" s="95">
        <f>IF(AND(H244=H$8,LEN(H244)&gt;1,Q244=1),1,0)</f>
        <v>0</v>
      </c>
      <c r="T244" s="105">
        <f>SUM(Q264:Q287)</f>
        <v>0</v>
      </c>
      <c r="U244" s="97">
        <f>SUM(S264:S287)</f>
        <v>0</v>
      </c>
      <c r="V244" s="97">
        <f>VLOOKUP(7,R238:S261,2,0)</f>
        <v>0</v>
      </c>
      <c r="W244" s="95" t="str">
        <f t="shared" si="95"/>
        <v/>
      </c>
      <c r="X244" s="95">
        <f>IF(F$8=0,IF(AND(G244=G296,NOT(G244=G270),NOT(G244=G322),LEN(W244)&gt;0),2,IF(LEN(W244)=0,0,1)),0)</f>
        <v>0</v>
      </c>
      <c r="Y244" s="95" t="str">
        <f t="shared" si="96"/>
        <v xml:space="preserve"> 0-0</v>
      </c>
      <c r="Z244" s="95" t="str">
        <f t="shared" si="97"/>
        <v>Michon 2-1</v>
      </c>
      <c r="AA244" s="95" t="str">
        <f t="shared" si="98"/>
        <v xml:space="preserve"> 0-0</v>
      </c>
      <c r="AB244" s="95" t="str">
        <f t="shared" si="99"/>
        <v xml:space="preserve">Michon </v>
      </c>
      <c r="AC244" s="95" t="str">
        <f>IF(AND(LEN(W244)&gt;0,F$8=0),IF(X244=2,W244&amp;" +2, ",W244&amp;", "),"")</f>
        <v/>
      </c>
    </row>
    <row r="245" spans="1:29">
      <c r="A245" s="95">
        <v>8</v>
      </c>
      <c r="B245" s="95">
        <f>IF(Doubles!J71="",0,Doubles!J71)</f>
        <v>0</v>
      </c>
      <c r="C245" s="99" t="str">
        <f>IF(OR(LEFT(B245,LEN(B$9))=B$9,LEFT(B245,LEN(C$9))=C$9,LEN(B245)&lt;2),"",IF(B245="no pick","","Wrong pick"))</f>
        <v/>
      </c>
      <c r="D245" s="95">
        <f t="shared" si="86"/>
        <v>0</v>
      </c>
      <c r="E245" s="95">
        <f t="shared" si="87"/>
        <v>1</v>
      </c>
      <c r="G245" s="95" t="str">
        <f>IF(B245=0,"",IF(B245="no pick","No Pick",IF(LEFT(B245,LEN(B$9))=B$9,B$9,C$9)))</f>
        <v/>
      </c>
      <c r="H245" s="95" t="str">
        <f t="shared" si="88"/>
        <v>0-0</v>
      </c>
      <c r="I245" s="95" t="str">
        <f>IF(AND(J245=$I$2,F$9=0,NOT(E$9="")),IF(OR(AND(Y245=AA245,Z245=AB245),AND(Y245=AB245,Z245=AA245)),"",IF(AND(Y245=Z245,AA245=AB245),Y245&amp;" +2 v. "&amp;AA245&amp;" +2, ",IF(Y245=AA245,Z245&amp;" v. "&amp;AB245&amp;", ",IF(Z245=AB245,Y245&amp;" v. "&amp;AA245&amp;", ",IF(Y245=AB245,Z245&amp;" v. "&amp;AA245&amp;", ",IF(Z245=AA245,Y245&amp;" v. "&amp;AB245&amp;", ",Y245&amp;" v. "&amp;AA245&amp;", "&amp;Z245&amp;" v. "&amp;AB245&amp;", ")))))),"")</f>
        <v xml:space="preserve">gonzalez 2-1 v. gonzalez , </v>
      </c>
      <c r="J245" s="97">
        <f>D$9</f>
        <v>1</v>
      </c>
      <c r="K245" s="95" t="str">
        <f t="shared" si="89"/>
        <v>SR</v>
      </c>
      <c r="L245" s="95" t="str">
        <f t="shared" si="90"/>
        <v>0</v>
      </c>
      <c r="M245" s="95" t="str">
        <f t="shared" si="91"/>
        <v>0</v>
      </c>
      <c r="N245" s="95" t="str">
        <f t="shared" si="92"/>
        <v>0</v>
      </c>
      <c r="O245" s="95" t="str">
        <f t="shared" si="93"/>
        <v>0</v>
      </c>
      <c r="P245" s="95" t="str">
        <f t="shared" si="94"/>
        <v>0</v>
      </c>
      <c r="Q245" s="95">
        <f>IF(AND(G245=T$9,LEN(G245)&gt;1),1,0)</f>
        <v>0</v>
      </c>
      <c r="R245" s="97">
        <f>Doubles!G$9</f>
        <v>8</v>
      </c>
      <c r="S245" s="95">
        <f>IF(AND(H245=H$9,LEN(H245)&gt;1,Q245=1),1,0)</f>
        <v>0</v>
      </c>
      <c r="V245" s="97">
        <f>VLOOKUP(8,R238:S261,2,0)</f>
        <v>0</v>
      </c>
      <c r="W245" s="95" t="str">
        <f t="shared" si="95"/>
        <v/>
      </c>
      <c r="X245" s="95">
        <f>IF(F$9=0,IF(AND(G245=G297,NOT(G245=G271),NOT(G245=G323),LEN(W245)&gt;0),2,IF(LEN(W245)=0,0,1)),0)</f>
        <v>0</v>
      </c>
      <c r="Y245" s="95" t="str">
        <f t="shared" si="96"/>
        <v xml:space="preserve"> 0-0</v>
      </c>
      <c r="Z245" s="95" t="str">
        <f t="shared" si="97"/>
        <v>gonzalez 2-1</v>
      </c>
      <c r="AA245" s="95" t="str">
        <f t="shared" si="98"/>
        <v xml:space="preserve"> 0-0</v>
      </c>
      <c r="AB245" s="95" t="str">
        <f t="shared" si="99"/>
        <v xml:space="preserve">gonzalez </v>
      </c>
      <c r="AC245" s="95" t="str">
        <f>IF(AND(LEN(W245)&gt;0,F$9=0),IF(X245=2,W245&amp;" +2, ",W245&amp;", "),"")</f>
        <v/>
      </c>
    </row>
    <row r="246" spans="1:29">
      <c r="A246" s="95">
        <v>9</v>
      </c>
      <c r="B246" s="95">
        <f>IF(Doubles!J72="",0,Doubles!J72)</f>
        <v>0</v>
      </c>
      <c r="C246" s="99" t="str">
        <f>IF(OR(LEFT(B246,LEN(B$10))=B$10,LEFT(B246,LEN(C$10))=C$10,LEN(B246)&lt;2),"",IF(B246="no pick","","Wrong pick"))</f>
        <v/>
      </c>
      <c r="D246" s="95">
        <f t="shared" si="86"/>
        <v>0</v>
      </c>
      <c r="E246" s="95">
        <f t="shared" si="87"/>
        <v>1</v>
      </c>
      <c r="G246" s="95" t="str">
        <f>IF(B246=0,"",IF(B246="no pick","No Pick",IF(LEFT(B246,LEN(B$10))=B$10,B$10,C$10)))</f>
        <v/>
      </c>
      <c r="H246" s="95" t="str">
        <f t="shared" si="88"/>
        <v>0-0</v>
      </c>
      <c r="I246" s="95" t="str">
        <f>IF(AND(J246=$I$2,F$10=0,NOT(E$10="")),IF(OR(AND(Y246=AA246,Z246=AB246),AND(Y246=AB246,Z246=AA246)),"",IF(AND(Y246=Z246,AA246=AB246),Y246&amp;" +2 v. "&amp;AA246&amp;" +2, ",IF(Y246=AA246,Z246&amp;" v. "&amp;AB246&amp;", ",IF(Z246=AB246,Y246&amp;" v. "&amp;AA246&amp;", ",IF(Y246=AB246,Z246&amp;" v. "&amp;AA246&amp;", ",IF(Z246=AA246,Y246&amp;" v. "&amp;AB246&amp;", ",Y246&amp;" v. "&amp;AA246&amp;", "&amp;Z246&amp;" v. "&amp;AB246&amp;", ")))))),"")</f>
        <v xml:space="preserve">pereira 2-0 v. pereira , </v>
      </c>
      <c r="J246" s="97">
        <f>D$10</f>
        <v>1</v>
      </c>
      <c r="K246" s="95" t="str">
        <f t="shared" si="89"/>
        <v>SR</v>
      </c>
      <c r="L246" s="95" t="str">
        <f t="shared" si="90"/>
        <v>0</v>
      </c>
      <c r="M246" s="95" t="str">
        <f t="shared" si="91"/>
        <v>0</v>
      </c>
      <c r="N246" s="95" t="str">
        <f t="shared" si="92"/>
        <v>0</v>
      </c>
      <c r="O246" s="95" t="str">
        <f t="shared" si="93"/>
        <v>0</v>
      </c>
      <c r="P246" s="95" t="str">
        <f t="shared" si="94"/>
        <v>0</v>
      </c>
      <c r="Q246" s="95">
        <f>IF(AND(G246=T$10,LEN(G246)&gt;1),1,0)</f>
        <v>0</v>
      </c>
      <c r="R246" s="97">
        <f>Doubles!G$10</f>
        <v>9</v>
      </c>
      <c r="S246" s="95">
        <f>IF(AND(H246=H$10,LEN(H246)&gt;1,Q246=1),1,0)</f>
        <v>0</v>
      </c>
      <c r="T246" s="95" t="e">
        <f>VLOOKUP("Winner",T264:U288,2,0)</f>
        <v>#N/A</v>
      </c>
      <c r="U246" s="95" t="e">
        <f>VLOOKUP(T246,U264:W288,3,0)</f>
        <v>#N/A</v>
      </c>
      <c r="V246" s="97">
        <f>VLOOKUP(9,R238:S261,2,0)</f>
        <v>0</v>
      </c>
      <c r="W246" s="95" t="str">
        <f t="shared" si="95"/>
        <v/>
      </c>
      <c r="X246" s="95">
        <f>IF(F$10=0,IF(AND(G246=G298,NOT(G246=G272),NOT(G246=G324),LEN(W246)&gt;0),2,IF(LEN(W246)=0,0,1)),0)</f>
        <v>0</v>
      </c>
      <c r="Y246" s="95" t="str">
        <f t="shared" si="96"/>
        <v xml:space="preserve"> 0-0</v>
      </c>
      <c r="Z246" s="95" t="str">
        <f t="shared" si="97"/>
        <v>pereira 2-0</v>
      </c>
      <c r="AA246" s="95" t="str">
        <f t="shared" si="98"/>
        <v xml:space="preserve"> 0-0</v>
      </c>
      <c r="AB246" s="95" t="str">
        <f t="shared" si="99"/>
        <v xml:space="preserve">pereira </v>
      </c>
      <c r="AC246" s="95" t="str">
        <f>IF(AND(LEN(W246)&gt;0,F$10=0),IF(X246=2,W246&amp;" +2, ",W246&amp;", "),"")</f>
        <v/>
      </c>
    </row>
    <row r="247" spans="1:29">
      <c r="A247" s="95">
        <v>10</v>
      </c>
      <c r="B247" s="95">
        <f>IF(Doubles!J73="",0,Doubles!J73)</f>
        <v>0</v>
      </c>
      <c r="C247" s="99" t="str">
        <f>IF(OR(LEFT(B247,LEN(B$11))=B$11,LEFT(B247,LEN(C$11))=C$11,LEN(B247)&lt;2),"",IF(B247="no pick","","Wrong pick"))</f>
        <v/>
      </c>
      <c r="D247" s="95">
        <f t="shared" si="86"/>
        <v>0</v>
      </c>
      <c r="E247" s="95">
        <f t="shared" si="87"/>
        <v>1</v>
      </c>
      <c r="G247" s="95" t="str">
        <f>IF(B247=0,"",IF(B247="no pick","No Pick",IF(LEFT(B247,LEN(B$11))=B$11,B$11,C$11)))</f>
        <v/>
      </c>
      <c r="H247" s="95" t="str">
        <f t="shared" si="88"/>
        <v>0-0</v>
      </c>
      <c r="I247" s="95" t="str">
        <f>IF(AND(J247=$I$2,F$11=0,NOT(E$11="")),IF(OR(AND(Y247=AA247,Z247=AB247),AND(Y247=AB247,Z247=AA247)),"",IF(AND(Y247=Z247,AA247=AB247),Y247&amp;" +2 v. "&amp;AA247&amp;" +2, ",IF(Y247=AA247,Z247&amp;" v. "&amp;AB247&amp;", ",IF(Z247=AB247,Y247&amp;" v. "&amp;AA247&amp;", ",IF(Y247=AB247,Z247&amp;" v. "&amp;AA247&amp;", ",IF(Z247=AA247,Y247&amp;" v. "&amp;AB247&amp;", ",Y247&amp;" v. "&amp;AA247&amp;", "&amp;Z247&amp;" v. "&amp;AB247&amp;", ")))))),"")</f>
        <v xml:space="preserve">collinari 2-0 v. matos , </v>
      </c>
      <c r="J247" s="97">
        <f>D$11</f>
        <v>1</v>
      </c>
      <c r="K247" s="95" t="str">
        <f t="shared" si="89"/>
        <v>SR</v>
      </c>
      <c r="L247" s="95" t="str">
        <f t="shared" si="90"/>
        <v>0</v>
      </c>
      <c r="M247" s="95" t="str">
        <f t="shared" si="91"/>
        <v>0</v>
      </c>
      <c r="N247" s="95" t="str">
        <f t="shared" si="92"/>
        <v>0</v>
      </c>
      <c r="O247" s="95" t="str">
        <f t="shared" si="93"/>
        <v>0</v>
      </c>
      <c r="P247" s="95" t="str">
        <f t="shared" si="94"/>
        <v>0</v>
      </c>
      <c r="Q247" s="95">
        <f>IF(AND(G247=T$11,LEN(G247)&gt;1),1,0)</f>
        <v>0</v>
      </c>
      <c r="R247" s="97">
        <f>Doubles!G$11</f>
        <v>10</v>
      </c>
      <c r="S247" s="95">
        <f>IF(AND(H247=H$11,LEN(H247)&gt;1,Q247=1),1,0)</f>
        <v>0</v>
      </c>
      <c r="T247" s="97">
        <f>T243+T295</f>
        <v>0</v>
      </c>
      <c r="U247" s="95">
        <f>U243+U295</f>
        <v>0</v>
      </c>
      <c r="V247" s="97">
        <f>VLOOKUP(10,R238:S261,2,0)</f>
        <v>0</v>
      </c>
      <c r="W247" s="95" t="str">
        <f t="shared" si="95"/>
        <v>collinari</v>
      </c>
      <c r="X247" s="95">
        <f>IF(F$11=0,IF(AND(G247=G299,NOT(G247=G273),NOT(G247=G325),LEN(W247)&gt;0),2,IF(LEN(W247)=0,0,1)),0)</f>
        <v>1</v>
      </c>
      <c r="Y247" s="95" t="str">
        <f t="shared" si="96"/>
        <v xml:space="preserve"> 0-0</v>
      </c>
      <c r="Z247" s="95" t="str">
        <f t="shared" si="97"/>
        <v>collinari 2-0</v>
      </c>
      <c r="AA247" s="95" t="str">
        <f t="shared" si="98"/>
        <v xml:space="preserve"> 0-0</v>
      </c>
      <c r="AB247" s="95" t="str">
        <f t="shared" si="99"/>
        <v xml:space="preserve">matos </v>
      </c>
      <c r="AC247" s="95" t="str">
        <f>IF(AND(LEN(W247)&gt;0,F$11=0),IF(X247=2,W247&amp;" +2, ",W247&amp;", "),"")</f>
        <v xml:space="preserve">collinari, </v>
      </c>
    </row>
    <row r="248" spans="1:29">
      <c r="A248" s="95">
        <v>11</v>
      </c>
      <c r="B248" s="95">
        <f>IF(Doubles!J74="",0,Doubles!J74)</f>
        <v>0</v>
      </c>
      <c r="C248" s="99" t="str">
        <f>IF(OR(LEFT(B248,LEN(B$12))=B$12,LEFT(B248,LEN(C$12))=C$12,LEN(B248)&lt;2),"",IF(B248="no pick","","Wrong pick"))</f>
        <v/>
      </c>
      <c r="D248" s="95">
        <f t="shared" si="86"/>
        <v>0</v>
      </c>
      <c r="E248" s="95">
        <f t="shared" si="87"/>
        <v>1</v>
      </c>
      <c r="G248" s="95" t="str">
        <f>IF(B248=0,"",IF(B248="no pick","No Pick",IF(LEFT(B248,LEN(B$12))=B$12,B$12,C$12)))</f>
        <v/>
      </c>
      <c r="H248" s="95" t="str">
        <f t="shared" si="88"/>
        <v>0-0</v>
      </c>
      <c r="I248" s="95" t="str">
        <f>IF(AND(J248=$I$2,F$12=0,NOT(E$12="")),IF(OR(AND(Y248=AA248,Z248=AB248),AND(Y248=AB248,Z248=AA248)),"",IF(AND(Y248=Z248,AA248=AB248),Y248&amp;" +2 v. "&amp;AA248&amp;" +2, ",IF(Y248=AA248,Z248&amp;" v. "&amp;AB248&amp;", ",IF(Z248=AB248,Y248&amp;" v. "&amp;AA248&amp;", ",IF(Y248=AB248,Z248&amp;" v. "&amp;AA248&amp;", ",IF(Z248=AA248,Y248&amp;" v. "&amp;AB248&amp;", ",Y248&amp;" v. "&amp;AA248&amp;", "&amp;Z248&amp;" v. "&amp;AB248&amp;", ")))))),"")</f>
        <v xml:space="preserve">giner 2-0 v. giner , </v>
      </c>
      <c r="J248" s="97">
        <f>D$12</f>
        <v>1</v>
      </c>
      <c r="K248" s="95" t="str">
        <f t="shared" si="89"/>
        <v>SR</v>
      </c>
      <c r="L248" s="95" t="str">
        <f t="shared" si="90"/>
        <v>0</v>
      </c>
      <c r="M248" s="95" t="str">
        <f t="shared" si="91"/>
        <v>0</v>
      </c>
      <c r="N248" s="95" t="str">
        <f t="shared" si="92"/>
        <v>0</v>
      </c>
      <c r="O248" s="95" t="str">
        <f t="shared" si="93"/>
        <v>0</v>
      </c>
      <c r="P248" s="95" t="str">
        <f t="shared" si="94"/>
        <v>0</v>
      </c>
      <c r="Q248" s="95">
        <f>IF(AND(G248=T$12,LEN(G248)&gt;1),1,0)</f>
        <v>0</v>
      </c>
      <c r="R248" s="97">
        <f>Doubles!G$12</f>
        <v>11</v>
      </c>
      <c r="S248" s="95">
        <f>IF(AND(H248=H$12,LEN(H248)&gt;1,Q248=1),1,0)</f>
        <v>0</v>
      </c>
      <c r="T248" s="97">
        <f>T244+T296</f>
        <v>0</v>
      </c>
      <c r="U248" s="95">
        <f>U244+U296</f>
        <v>0</v>
      </c>
      <c r="V248" s="97">
        <f>VLOOKUP(11,R238:S261,2,0)</f>
        <v>0</v>
      </c>
      <c r="W248" s="95" t="str">
        <f t="shared" si="95"/>
        <v/>
      </c>
      <c r="X248" s="95">
        <f>IF(F$12=0,IF(AND(G248=G300,NOT(G248=G274),NOT(G248=G326),LEN(W248)&gt;0),2,IF(LEN(W248)=0,0,1)),0)</f>
        <v>0</v>
      </c>
      <c r="Y248" s="95" t="str">
        <f t="shared" si="96"/>
        <v xml:space="preserve"> 0-0</v>
      </c>
      <c r="Z248" s="95" t="str">
        <f t="shared" si="97"/>
        <v>giner 2-0</v>
      </c>
      <c r="AA248" s="95" t="str">
        <f t="shared" si="98"/>
        <v xml:space="preserve"> 0-0</v>
      </c>
      <c r="AB248" s="95" t="str">
        <f t="shared" si="99"/>
        <v xml:space="preserve">giner </v>
      </c>
      <c r="AC248" s="95" t="str">
        <f>IF(AND(LEN(W248)&gt;0,F$12=0),IF(X248=2,W248&amp;" +2, ",W248&amp;", "),"")</f>
        <v/>
      </c>
    </row>
    <row r="249" spans="1:29">
      <c r="A249" s="95">
        <v>12</v>
      </c>
      <c r="B249" s="95">
        <f>IF(Doubles!J75="",0,Doubles!J75)</f>
        <v>0</v>
      </c>
      <c r="C249" s="99" t="str">
        <f>IF(OR(LEFT(B249,LEN(B$13))=B$13,LEFT(B249,LEN(C$13))=C$13,LEN(B249)&lt;2),"",IF(B249="no pick","","Wrong pick"))</f>
        <v/>
      </c>
      <c r="D249" s="95">
        <f t="shared" si="86"/>
        <v>0</v>
      </c>
      <c r="E249" s="95">
        <f t="shared" si="87"/>
        <v>1</v>
      </c>
      <c r="G249" s="95" t="str">
        <f>IF(B249=0,"",IF(B249="no pick","No Pick",IF(LEFT(B249,LEN(B$13))=B$13,B$13,C$13)))</f>
        <v/>
      </c>
      <c r="H249" s="95" t="str">
        <f t="shared" si="88"/>
        <v>0-0</v>
      </c>
      <c r="I249" s="95" t="str">
        <f>IF(AND(J249=$I$2,F$13=0,NOT(E$13="")),IF(OR(AND(Y249=AA249,Z249=AB249),AND(Y249=AB249,Z249=AA249)),"",IF(AND(Y249=Z249,AA249=AB249),Y249&amp;" +2 v. "&amp;AA249&amp;" +2, ",IF(Y249=AA249,Z249&amp;" v. "&amp;AB249&amp;", ",IF(Z249=AB249,Y249&amp;" v. "&amp;AA249&amp;", ",IF(Y249=AB249,Z249&amp;" v. "&amp;AA249&amp;", ",IF(Z249=AA249,Y249&amp;" v. "&amp;AB249&amp;", ",Y249&amp;" v. "&amp;AA249&amp;", "&amp;Z249&amp;" v. "&amp;AB249&amp;", ")))))),"")</f>
        <v xml:space="preserve">galdon 2-1 v. galdon , </v>
      </c>
      <c r="J249" s="97">
        <f>D$13</f>
        <v>1</v>
      </c>
      <c r="K249" s="95" t="str">
        <f t="shared" si="89"/>
        <v>SR</v>
      </c>
      <c r="L249" s="95" t="str">
        <f t="shared" si="90"/>
        <v>0</v>
      </c>
      <c r="M249" s="95" t="str">
        <f t="shared" si="91"/>
        <v>0</v>
      </c>
      <c r="N249" s="95" t="str">
        <f t="shared" si="92"/>
        <v>0</v>
      </c>
      <c r="O249" s="95" t="str">
        <f t="shared" si="93"/>
        <v>0</v>
      </c>
      <c r="P249" s="95" t="str">
        <f t="shared" si="94"/>
        <v>0</v>
      </c>
      <c r="Q249" s="95">
        <f>IF(AND(G249=T$13,LEN(G249)&gt;1),1,0)</f>
        <v>0</v>
      </c>
      <c r="R249" s="97">
        <f>Doubles!G$13</f>
        <v>12</v>
      </c>
      <c r="S249" s="95">
        <f>IF(AND(H249=H$13,LEN(H249)&gt;1,Q249=1),1,0)</f>
        <v>0</v>
      </c>
      <c r="V249" s="97">
        <f>VLOOKUP(12,R238:S261,2,0)</f>
        <v>0</v>
      </c>
      <c r="W249" s="95" t="str">
        <f t="shared" si="95"/>
        <v/>
      </c>
      <c r="X249" s="95">
        <f>IF(F$13=0,IF(AND(G249=G301,NOT(G249=G275),NOT(G249=G327),LEN(W249)&gt;0),2,IF(LEN(W249)=0,0,1)),0)</f>
        <v>0</v>
      </c>
      <c r="Y249" s="95" t="str">
        <f t="shared" si="96"/>
        <v xml:space="preserve"> 0-0</v>
      </c>
      <c r="Z249" s="95" t="str">
        <f t="shared" si="97"/>
        <v>galdon 2-1</v>
      </c>
      <c r="AA249" s="95" t="str">
        <f t="shared" si="98"/>
        <v xml:space="preserve"> 0-0</v>
      </c>
      <c r="AB249" s="95" t="str">
        <f t="shared" si="99"/>
        <v xml:space="preserve">galdon </v>
      </c>
      <c r="AC249" s="95" t="str">
        <f>IF(AND(LEN(W249)&gt;0,F$13=0),IF(X249=2,W249&amp;" +2, ",W249&amp;", "),"")</f>
        <v/>
      </c>
    </row>
    <row r="250" spans="1:29">
      <c r="A250" s="95">
        <v>13</v>
      </c>
      <c r="B250" s="95">
        <f>IF(Doubles!J76="",0,Doubles!J76)</f>
        <v>0</v>
      </c>
      <c r="C250" s="99" t="str">
        <f>IF(OR(LEFT(B250,LEN(B$14))=B$14,LEFT(B250,LEN(C$14))=C$14,LEN(B250)&lt;2),"",IF(B250="no pick","","Wrong pick"))</f>
        <v/>
      </c>
      <c r="D250" s="95">
        <f t="shared" si="86"/>
        <v>0</v>
      </c>
      <c r="E250" s="95">
        <f t="shared" si="87"/>
        <v>1</v>
      </c>
      <c r="G250" s="95" t="str">
        <f>IF(B250=0,"",IF(B250="no pick","No Pick",IF(LEFT(B250,LEN(B$14))=B$14,B$14,C$14)))</f>
        <v/>
      </c>
      <c r="H250" s="95" t="str">
        <f t="shared" si="88"/>
        <v>0-0</v>
      </c>
      <c r="I250" s="95" t="str">
        <f>IF(AND(J250=$I$2,F$14=0,NOT(E$14="")),IF(OR(AND(Y250=AA250,Z250=AB250),AND(Y250=AB250,Z250=AA250)),"",IF(AND(Y250=Z250,AA250=AB250),Y250&amp;" +2 v. "&amp;AA250&amp;" +2, ",IF(Y250=AA250,Z250&amp;" v. "&amp;AB250&amp;", ",IF(Z250=AB250,Y250&amp;" v. "&amp;AA250&amp;", ",IF(Y250=AB250,Z250&amp;" v. "&amp;AA250&amp;", ",IF(Z250=AA250,Y250&amp;" v. "&amp;AB250&amp;", ",Y250&amp;" v. "&amp;AA250&amp;", "&amp;Z250&amp;" v. "&amp;AB250&amp;", ")))))),"")</f>
        <v xml:space="preserve">lobkov 2-0 v. lobkov , </v>
      </c>
      <c r="J250" s="97">
        <f>D$14</f>
        <v>1</v>
      </c>
      <c r="K250" s="95" t="str">
        <f t="shared" si="89"/>
        <v>SR</v>
      </c>
      <c r="L250" s="95" t="str">
        <f t="shared" si="90"/>
        <v>0</v>
      </c>
      <c r="M250" s="95" t="str">
        <f t="shared" si="91"/>
        <v>0</v>
      </c>
      <c r="N250" s="95" t="str">
        <f t="shared" si="92"/>
        <v>0</v>
      </c>
      <c r="O250" s="95" t="str">
        <f t="shared" si="93"/>
        <v>0</v>
      </c>
      <c r="P250" s="95" t="str">
        <f t="shared" si="94"/>
        <v>0</v>
      </c>
      <c r="Q250" s="95">
        <f>IF(AND(G250=T$14,LEN(G250)&gt;1),1,0)</f>
        <v>0</v>
      </c>
      <c r="R250" s="97">
        <f>Doubles!G$14</f>
        <v>13</v>
      </c>
      <c r="S250" s="95">
        <f>IF(AND(H250=H$14,LEN(H250)&gt;1,Q250=1),1,0)</f>
        <v>0</v>
      </c>
      <c r="V250" s="97">
        <f>VLOOKUP(13,R238:S261,2,0)</f>
        <v>0</v>
      </c>
      <c r="W250" s="95" t="str">
        <f t="shared" si="95"/>
        <v/>
      </c>
      <c r="X250" s="95">
        <f>IF(F$14=0,IF(AND(G250=G302,NOT(G250=G276),NOT(G250=G328),LEN(W250)&gt;0),2,IF(LEN(W250)=0,0,1)),0)</f>
        <v>0</v>
      </c>
      <c r="Y250" s="95" t="str">
        <f t="shared" si="96"/>
        <v xml:space="preserve"> 0-0</v>
      </c>
      <c r="Z250" s="95" t="str">
        <f t="shared" si="97"/>
        <v>lobkov 2-0</v>
      </c>
      <c r="AA250" s="95" t="str">
        <f t="shared" si="98"/>
        <v xml:space="preserve"> 0-0</v>
      </c>
      <c r="AB250" s="95" t="str">
        <f t="shared" si="99"/>
        <v xml:space="preserve">lobkov </v>
      </c>
      <c r="AC250" s="95" t="str">
        <f>IF(AND(LEN(W250)&gt;0,F$14=0),IF(X250=2,W250&amp;" +2, ",W250&amp;", "),"")</f>
        <v/>
      </c>
    </row>
    <row r="251" spans="1:29">
      <c r="A251" s="95">
        <v>14</v>
      </c>
      <c r="B251" s="95">
        <f>IF(Doubles!J77="",0,Doubles!J77)</f>
        <v>0</v>
      </c>
      <c r="C251" s="99" t="str">
        <f>IF(OR(LEFT(B251,LEN(B$15))=B$15,LEFT(B251,LEN(C$15))=C$15,LEN(B251)&lt;2),"",IF(B251="no pick","","Wrong pick"))</f>
        <v/>
      </c>
      <c r="D251" s="95">
        <f t="shared" si="86"/>
        <v>0</v>
      </c>
      <c r="E251" s="95">
        <f t="shared" si="87"/>
        <v>1</v>
      </c>
      <c r="G251" s="95" t="str">
        <f>IF(B251=0,"",IF(B251="no pick","No Pick",IF(LEFT(B251,LEN(B$15))=B$15,B$15,C$15)))</f>
        <v/>
      </c>
      <c r="H251" s="95" t="str">
        <f t="shared" si="88"/>
        <v>0-0</v>
      </c>
      <c r="I251" s="95" t="str">
        <f>IF(AND(J251=$I$2,F$15=0,NOT(E$15="")),IF(OR(AND(Y251=AA251,Z251=AB251),AND(Y251=AB251,Z251=AA251)),"",IF(AND(Y251=Z251,AA251=AB251),Y251&amp;" +2 v. "&amp;AA251&amp;" +2, ",IF(Y251=AA251,Z251&amp;" v. "&amp;AB251&amp;", ",IF(Z251=AB251,Y251&amp;" v. "&amp;AA251&amp;", ",IF(Y251=AB251,Z251&amp;" v. "&amp;AA251&amp;", ",IF(Z251=AA251,Y251&amp;" v. "&amp;AB251&amp;", ",Y251&amp;" v. "&amp;AA251&amp;", "&amp;Z251&amp;" v. "&amp;AB251&amp;", ")))))),"")</f>
        <v xml:space="preserve">Fligia 2-1 v. santos , </v>
      </c>
      <c r="J251" s="97">
        <f>D$15</f>
        <v>1</v>
      </c>
      <c r="K251" s="95" t="str">
        <f t="shared" si="89"/>
        <v>SR</v>
      </c>
      <c r="L251" s="95" t="str">
        <f t="shared" si="90"/>
        <v>0</v>
      </c>
      <c r="M251" s="95" t="str">
        <f t="shared" si="91"/>
        <v>0</v>
      </c>
      <c r="N251" s="95" t="str">
        <f t="shared" si="92"/>
        <v>0</v>
      </c>
      <c r="O251" s="95" t="str">
        <f t="shared" si="93"/>
        <v>0</v>
      </c>
      <c r="P251" s="95" t="str">
        <f t="shared" si="94"/>
        <v>0</v>
      </c>
      <c r="Q251" s="95">
        <f>IF(AND(G251=T$15,LEN(G251)&gt;1),1,0)</f>
        <v>0</v>
      </c>
      <c r="R251" s="97">
        <f>Doubles!G$15</f>
        <v>14</v>
      </c>
      <c r="S251" s="95">
        <f>IF(AND(H251=H$15,LEN(H251)&gt;1,Q251=1),1,0)</f>
        <v>0</v>
      </c>
      <c r="T251" s="95" t="s">
        <v>127</v>
      </c>
      <c r="U251" s="95" t="str">
        <f>IF(Doubles!$D$22=$F$26,IF(T247&gt;T248,B237&amp;"/"&amp;B289,IF(T247&lt;T248,B263&amp;"/"&amp;B315,IF(U247&gt;U248,B237&amp;"/"&amp;B289,IF(U247&lt;U248,B263&amp;"/"&amp;B315,"Tied, see shootout")))),"No decision yet")</f>
        <v>No decision yet</v>
      </c>
      <c r="V251" s="97">
        <f>VLOOKUP(14,R238:S261,2,0)</f>
        <v>0</v>
      </c>
      <c r="W251" s="95" t="str">
        <f t="shared" si="95"/>
        <v>Fligia</v>
      </c>
      <c r="X251" s="95">
        <f>IF(F$15=0,IF(AND(G251=G303,NOT(G251=G277),NOT(G251=G329),LEN(W251)&gt;0),2,IF(LEN(W251)=0,0,1)),0)</f>
        <v>1</v>
      </c>
      <c r="Y251" s="95" t="str">
        <f t="shared" si="96"/>
        <v xml:space="preserve"> 0-0</v>
      </c>
      <c r="Z251" s="95" t="str">
        <f t="shared" si="97"/>
        <v>Fligia 2-1</v>
      </c>
      <c r="AA251" s="95" t="str">
        <f t="shared" si="98"/>
        <v xml:space="preserve"> 0-0</v>
      </c>
      <c r="AB251" s="95" t="str">
        <f t="shared" si="99"/>
        <v xml:space="preserve">santos </v>
      </c>
      <c r="AC251" s="95" t="str">
        <f>IF(AND(LEN(W251)&gt;0,F$15=0),IF(X251=2,W251&amp;" +2, ",W251&amp;", "),"")</f>
        <v xml:space="preserve">Fligia, </v>
      </c>
    </row>
    <row r="252" spans="1:29">
      <c r="A252" s="95">
        <v>15</v>
      </c>
      <c r="B252" s="95">
        <f>IF(Doubles!J78="",0,Doubles!J78)</f>
        <v>0</v>
      </c>
      <c r="C252" s="99" t="str">
        <f>IF(OR(LEFT(B252,LEN(B$16))=B$16,LEFT(B252,LEN(C$16))=C$16,LEN(B252)&lt;2),"",IF(B252="no pick","","Wrong pick"))</f>
        <v/>
      </c>
      <c r="D252" s="95">
        <f t="shared" si="86"/>
        <v>0</v>
      </c>
      <c r="E252" s="95">
        <f t="shared" si="87"/>
        <v>1</v>
      </c>
      <c r="G252" s="95" t="str">
        <f>IF(B252=0,"",IF(B252="no pick","No Pick",IF(LEFT(B252,LEN(B$16))=B$16,B$16,C$16)))</f>
        <v/>
      </c>
      <c r="H252" s="95" t="str">
        <f t="shared" si="88"/>
        <v>0-0</v>
      </c>
      <c r="I252" s="95" t="str">
        <f>IF(AND(J252=$I$2,F$16=0,NOT(E$16="")),IF(OR(AND(Y252=AA252,Z252=AB252),AND(Y252=AB252,Z252=AA252)),"",IF(AND(Y252=Z252,AA252=AB252),Y252&amp;" +2 v. "&amp;AA252&amp;" +2, ",IF(Y252=AA252,Z252&amp;" v. "&amp;AB252&amp;", ",IF(Z252=AB252,Y252&amp;" v. "&amp;AA252&amp;", ",IF(Y252=AB252,Z252&amp;" v. "&amp;AA252&amp;", ",IF(Z252=AA252,Y252&amp;" v. "&amp;AB252&amp;", ",Y252&amp;" v. "&amp;AA252&amp;", "&amp;Z252&amp;" v. "&amp;AB252&amp;", ")))))),"")</f>
        <v xml:space="preserve">blumenberg 2-1 v. santos , </v>
      </c>
      <c r="J252" s="97">
        <f>D$16</f>
        <v>1</v>
      </c>
      <c r="K252" s="95" t="str">
        <f t="shared" si="89"/>
        <v>SR</v>
      </c>
      <c r="L252" s="95" t="str">
        <f t="shared" si="90"/>
        <v>0</v>
      </c>
      <c r="M252" s="95" t="str">
        <f t="shared" si="91"/>
        <v>0</v>
      </c>
      <c r="N252" s="95" t="str">
        <f t="shared" si="92"/>
        <v>0</v>
      </c>
      <c r="O252" s="95" t="str">
        <f t="shared" si="93"/>
        <v>0</v>
      </c>
      <c r="P252" s="95" t="str">
        <f t="shared" si="94"/>
        <v>0</v>
      </c>
      <c r="Q252" s="95">
        <f>IF(AND(G252=T$16,LEN(G252)&gt;1),1,0)</f>
        <v>0</v>
      </c>
      <c r="R252" s="97">
        <f>Doubles!G$16</f>
        <v>15</v>
      </c>
      <c r="S252" s="95">
        <f>IF(AND(H252=H$16,LEN(H252)&gt;1,Q252=1),1,0)</f>
        <v>0</v>
      </c>
      <c r="T252" s="95" t="s">
        <v>128</v>
      </c>
      <c r="U252" s="95" t="str">
        <f>IF(T247&lt;10,"0","")&amp;T247&amp;":"&amp;IF(T248&lt;10,"0","")&amp;T248&amp;" | "&amp;IF(AND(A237&gt;0,A237&lt;33,B237&amp;"/"&amp;B289=U251),"[b][color=Blue]"&amp;T237&amp;"/"&amp;T289&amp;" ("&amp;D237&amp;"/"&amp;D289&amp;")[/color][/b]",IF(B237&amp;"/"&amp;B289=U251,"[color=Blue]"&amp;T237&amp;"/"&amp;T289&amp;" ("&amp;D237&amp;"/"&amp;D289&amp;")[/color]",IF(AND(A237&gt;0,A237&lt;33),"[b]"&amp;T237&amp;"/"&amp;T289&amp;" ("&amp;D237&amp;"/"&amp;D289&amp;")[/b]",T237&amp;"/"&amp;T289&amp;IF(LEN(D237)&gt;1," ("&amp;D237&amp;"/"&amp;D289&amp;")",""))))&amp;" vs. "&amp;IF(AND(A263&gt;0,A263&lt;33,B263&amp;"/"&amp;B315=U251),"[b][color=Blue]"&amp;T263&amp;"/"&amp;T315&amp;" ("&amp;D263&amp;"/"&amp;D315&amp;")[/color][/b]",IF(B263&amp;"/"&amp;B315=U251,"[color=Blue]"&amp;T263&amp;"/"&amp;T315&amp;" ("&amp;D263&amp;"/"&amp;D315&amp;")[/color]",IF(AND(A263&gt;0,A263&lt;33),"[b]"&amp;T263&amp;"/"&amp;T315&amp;" ("&amp;D263&amp;"/"&amp;D315&amp;")[/b]",T263&amp;"/"&amp;T315&amp;IF(LEN(D263)&gt;1," ("&amp;D263&amp;"/"&amp;D315&amp;")",""))))&amp;IF(OR(Doubles!$D$25="yes",T247=T248)," #SRs: "&amp;U247&amp;"-"&amp;U248,"")</f>
        <v>00:00 | [b](2) BrazilTBfan/RNW (GRE/SUI)[/b] vs. Thales de Mileto/AeronW (BRA/XXX) #SRs: 0-0</v>
      </c>
      <c r="V252" s="97">
        <f>VLOOKUP(15,R238:S261,2,0)</f>
        <v>0</v>
      </c>
      <c r="W252" s="95" t="str">
        <f t="shared" si="95"/>
        <v>blumenberg</v>
      </c>
      <c r="X252" s="95">
        <f>IF(F$16=0,IF(AND(G252=G304,NOT(G252=G278),NOT(G252=G330),LEN(W252)&gt;0),2,IF(LEN(W252)=0,0,1)),0)</f>
        <v>1</v>
      </c>
      <c r="Y252" s="95" t="str">
        <f t="shared" si="96"/>
        <v xml:space="preserve"> 0-0</v>
      </c>
      <c r="Z252" s="95" t="str">
        <f t="shared" si="97"/>
        <v>blumenberg 2-1</v>
      </c>
      <c r="AA252" s="95" t="str">
        <f t="shared" si="98"/>
        <v xml:space="preserve"> 0-0</v>
      </c>
      <c r="AB252" s="95" t="str">
        <f t="shared" si="99"/>
        <v xml:space="preserve">santos </v>
      </c>
      <c r="AC252" s="95" t="str">
        <f>IF(AND(LEN(W252)&gt;0,F$16=0),IF(X252=2,W252&amp;" +2, ",W252&amp;", "),"")</f>
        <v xml:space="preserve">blumenberg, </v>
      </c>
    </row>
    <row r="253" spans="1:29">
      <c r="A253" s="95">
        <v>16</v>
      </c>
      <c r="B253" s="95">
        <f>IF(Doubles!J79="",0,Doubles!J79)</f>
        <v>0</v>
      </c>
      <c r="C253" s="99" t="str">
        <f>IF(OR(LEFT(B253,LEN(B$17))=B$17,LEFT(B253,LEN(C$17))=C$17,LEN(B253)&lt;2),"",IF(B253="no pick","","Wrong pick"))</f>
        <v/>
      </c>
      <c r="D253" s="95">
        <f t="shared" si="86"/>
        <v>0</v>
      </c>
      <c r="E253" s="95">
        <f t="shared" si="87"/>
        <v>1</v>
      </c>
      <c r="G253" s="95" t="str">
        <f>IF(B253=0,"",IF(B253="no pick","No Pick",IF(LEFT(B253,LEN(B$17))=B$17,B$17,C$17)))</f>
        <v/>
      </c>
      <c r="H253" s="95" t="str">
        <f t="shared" si="88"/>
        <v>0-0</v>
      </c>
      <c r="I253" s="95" t="str">
        <f>IF(AND(J253=$I$2,F$17=0,NOT(E$17="")),IF(OR(AND(Y253=AA253,Z253=AB253),AND(Y253=AB253,Z253=AA253)),"",IF(AND(Y253=Z253,AA253=AB253),Y253&amp;" +2 v. "&amp;AA253&amp;" +2, ",IF(Y253=AA253,Z253&amp;" v. "&amp;AB253&amp;", ",IF(Z253=AB253,Y253&amp;" v. "&amp;AA253&amp;", ",IF(Y253=AB253,Z253&amp;" v. "&amp;AA253&amp;", ",IF(Z253=AA253,Y253&amp;" v. "&amp;AB253&amp;", ",Y253&amp;" v. "&amp;AA253&amp;", "&amp;Z253&amp;" v. "&amp;AB253&amp;", ")))))),"")</f>
        <v xml:space="preserve">lojda 2-0 v. lojda , </v>
      </c>
      <c r="J253" s="97">
        <f>D$17</f>
        <v>1</v>
      </c>
      <c r="K253" s="95" t="str">
        <f t="shared" si="89"/>
        <v>SR</v>
      </c>
      <c r="L253" s="95" t="str">
        <f t="shared" si="90"/>
        <v>0</v>
      </c>
      <c r="M253" s="95" t="str">
        <f t="shared" si="91"/>
        <v>0</v>
      </c>
      <c r="N253" s="95" t="str">
        <f t="shared" si="92"/>
        <v>0</v>
      </c>
      <c r="O253" s="95" t="str">
        <f t="shared" si="93"/>
        <v>0</v>
      </c>
      <c r="P253" s="95" t="str">
        <f t="shared" si="94"/>
        <v>0</v>
      </c>
      <c r="Q253" s="95">
        <f>IF(AND(G253=T$17,LEN(G253)&gt;1),1,0)</f>
        <v>0</v>
      </c>
      <c r="R253" s="97">
        <f>Doubles!G$17</f>
        <v>16</v>
      </c>
      <c r="S253" s="95">
        <f>IF(AND(H253=H$17,LEN(H253)&gt;1,Q253=1),1,0)</f>
        <v>0</v>
      </c>
      <c r="V253" s="97">
        <f>VLOOKUP(16,R238:S261,2,0)</f>
        <v>0</v>
      </c>
      <c r="W253" s="95" t="str">
        <f t="shared" si="95"/>
        <v/>
      </c>
      <c r="X253" s="95">
        <f>IF(F$17=0,IF(AND(G253=G305,NOT(G253=G279),NOT(G253=G331),LEN(W253)&gt;0),2,IF(LEN(W253)=0,0,1)),0)</f>
        <v>0</v>
      </c>
      <c r="Y253" s="95" t="str">
        <f t="shared" si="96"/>
        <v xml:space="preserve"> 0-0</v>
      </c>
      <c r="Z253" s="95" t="str">
        <f t="shared" si="97"/>
        <v>lojda 2-0</v>
      </c>
      <c r="AA253" s="95" t="str">
        <f t="shared" si="98"/>
        <v xml:space="preserve"> 0-0</v>
      </c>
      <c r="AB253" s="95" t="str">
        <f t="shared" si="99"/>
        <v xml:space="preserve">lojda </v>
      </c>
      <c r="AC253" s="95" t="str">
        <f>IF(AND(LEN(W253)&gt;0,F$17=0),IF(X253=2,W253&amp;" +2, ",W253&amp;", "),"")</f>
        <v/>
      </c>
    </row>
    <row r="254" spans="1:29">
      <c r="A254" s="95">
        <v>17</v>
      </c>
      <c r="B254" s="95">
        <f>IF(Doubles!J80="",0,Doubles!J80)</f>
        <v>0</v>
      </c>
      <c r="C254" s="99" t="str">
        <f>IF(OR(LEFT(B254,LEN(B$18))=B$18,LEFT(B254,LEN(C$18))=C$18,LEN(B254)&lt;2),"",IF(B254="no pick","","Wrong pick"))</f>
        <v/>
      </c>
      <c r="D254" s="95">
        <f t="shared" si="86"/>
        <v>0</v>
      </c>
      <c r="E254" s="95">
        <f t="shared" si="87"/>
        <v>0</v>
      </c>
      <c r="G254" s="95" t="str">
        <f>IF(B254=0,"",IF(B254="no pick","No Pick",IF(LEFT(B254,LEN(B$18))=B$18,B$18,C$18)))</f>
        <v/>
      </c>
      <c r="H254" s="95" t="str">
        <f t="shared" si="88"/>
        <v>0-0</v>
      </c>
      <c r="I254" s="95" t="str">
        <f>IF(AND(J254=$I$2,F$18=0,NOT(E$18="")),IF(OR(AND(Y254=AA254,Z254=AB254),AND(Y254=AB254,Z254=AA254)),"",IF(AND(Y254=Z254,AA254=AB254),Y254&amp;" +2 v. "&amp;AA254&amp;" +2, ",IF(Y254=AA254,Z254&amp;" v. "&amp;AB254&amp;", ",IF(Z254=AB254,Y254&amp;" v. "&amp;AA254&amp;", ",IF(Y254=AB254,Z254&amp;" v. "&amp;AA254&amp;", ",IF(Z254=AA254,Y254&amp;" v. "&amp;AB254&amp;", ",Y254&amp;" v. "&amp;AA254&amp;", "&amp;Z254&amp;" v. "&amp;AB254&amp;", ")))))),"")</f>
        <v/>
      </c>
      <c r="J254" s="95">
        <f>D$18</f>
        <v>0</v>
      </c>
      <c r="K254" s="95" t="str">
        <f t="shared" si="89"/>
        <v>SR</v>
      </c>
      <c r="L254" s="95" t="str">
        <f t="shared" si="90"/>
        <v>0</v>
      </c>
      <c r="M254" s="95" t="str">
        <f t="shared" si="91"/>
        <v>0</v>
      </c>
      <c r="N254" s="95" t="str">
        <f t="shared" si="92"/>
        <v>0</v>
      </c>
      <c r="O254" s="95" t="str">
        <f t="shared" si="93"/>
        <v>0</v>
      </c>
      <c r="P254" s="95" t="str">
        <f t="shared" si="94"/>
        <v>0</v>
      </c>
      <c r="Q254" s="95">
        <f>IF(AND(G254=T$18,LEN(G254)&gt;1),1,0)</f>
        <v>0</v>
      </c>
      <c r="R254" s="97">
        <f>Doubles!G$18</f>
        <v>17</v>
      </c>
      <c r="S254" s="95">
        <f>IF(AND(H254=H$18,LEN(H254)&gt;1,Q254=1),1,0)</f>
        <v>0</v>
      </c>
      <c r="T254" s="95" t="str">
        <f>IF(Doubles!$D$22=$F$26,IF(T247&gt;T248,B237,IF(T247&lt;T248,B263,IF(U247&gt;U248,B237,IF(U247&lt;U248,B263,"")))),"")</f>
        <v/>
      </c>
      <c r="U254" s="95" t="str">
        <f>IF(Doubles!$D$22=$F$26,IF(T247&gt;T248,B289,IF(T247&lt;T248,B315,IF(U247&gt;U248,B289,IF(U247&lt;U248,B315,"")))),"")</f>
        <v/>
      </c>
      <c r="V254" s="95">
        <f>VLOOKUP(17,R238:S261,2,0)</f>
        <v>0</v>
      </c>
      <c r="W254" s="95" t="str">
        <f t="shared" si="95"/>
        <v/>
      </c>
      <c r="X254" s="95">
        <f>IF(F$18=0,IF(AND(G254=G306,NOT(G254=G280),NOT(G254=G332),LEN(W254)&gt;0),2,IF(LEN(W254)=0,0,1)),0)</f>
        <v>0</v>
      </c>
      <c r="Y254" s="95" t="str">
        <f t="shared" si="96"/>
        <v xml:space="preserve"> 0-0</v>
      </c>
      <c r="Z254" s="95" t="str">
        <f t="shared" si="97"/>
        <v xml:space="preserve"> 0-0</v>
      </c>
      <c r="AA254" s="95" t="str">
        <f t="shared" si="98"/>
        <v xml:space="preserve"> 0-0</v>
      </c>
      <c r="AB254" s="95" t="str">
        <f t="shared" si="99"/>
        <v xml:space="preserve"> 0-0</v>
      </c>
      <c r="AC254" s="95" t="str">
        <f>IF(AND(LEN(W254)&gt;0,F$18=0),IF(X254=2,W254&amp;" +2, ",W254&amp;", "),"")</f>
        <v/>
      </c>
    </row>
    <row r="255" spans="1:29">
      <c r="A255" s="95">
        <v>18</v>
      </c>
      <c r="B255" s="95">
        <f>IF(Doubles!J81="",0,Doubles!J81)</f>
        <v>0</v>
      </c>
      <c r="C255" s="99" t="str">
        <f>IF(OR(LEFT(B255,LEN(B$19))=B$19,LEFT(B255,LEN(C$19))=C$19,LEN(B255)&lt;2),"",IF(B255="no pick","","Wrong pick"))</f>
        <v/>
      </c>
      <c r="D255" s="95">
        <f t="shared" si="86"/>
        <v>0</v>
      </c>
      <c r="E255" s="95">
        <f t="shared" si="87"/>
        <v>0</v>
      </c>
      <c r="G255" s="95" t="str">
        <f>IF(B255=0,"",IF(B255="no pick","No Pick",IF(LEFT(B255,LEN(B$19))=B$19,B$19,C$19)))</f>
        <v/>
      </c>
      <c r="H255" s="95" t="str">
        <f t="shared" si="88"/>
        <v>0-0</v>
      </c>
      <c r="I255" s="95" t="str">
        <f>IF(AND(J255=$I$2,F$19=0,NOT(E$19="")),IF(OR(AND(Y255=AA255,Z255=AB255),AND(Y255=AB255,Z255=AA255)),"",IF(AND(Y255=Z255,AA255=AB255),Y255&amp;" +2 v. "&amp;AA255&amp;" +2, ",IF(Y255=AA255,Z255&amp;" v. "&amp;AB255&amp;", ",IF(Z255=AB255,Y255&amp;" v. "&amp;AA255&amp;", ",IF(Y255=AB255,Z255&amp;" v. "&amp;AA255&amp;", ",IF(Z255=AA255,Y255&amp;" v. "&amp;AB255&amp;", ",Y255&amp;" v. "&amp;AA255&amp;", "&amp;Z255&amp;" v. "&amp;AB255&amp;", ")))))),"")</f>
        <v/>
      </c>
      <c r="J255" s="95">
        <f>D$19</f>
        <v>0</v>
      </c>
      <c r="K255" s="95" t="str">
        <f t="shared" si="89"/>
        <v>SR</v>
      </c>
      <c r="L255" s="95" t="str">
        <f t="shared" si="90"/>
        <v>0</v>
      </c>
      <c r="M255" s="95" t="str">
        <f t="shared" si="91"/>
        <v>0</v>
      </c>
      <c r="N255" s="95" t="str">
        <f t="shared" si="92"/>
        <v>0</v>
      </c>
      <c r="O255" s="95" t="str">
        <f t="shared" si="93"/>
        <v>0</v>
      </c>
      <c r="P255" s="95" t="str">
        <f t="shared" si="94"/>
        <v>0</v>
      </c>
      <c r="Q255" s="95">
        <f>IF(AND(G255=T$19,LEN(G255)&gt;1),1,0)</f>
        <v>0</v>
      </c>
      <c r="R255" s="97">
        <f>Doubles!G$19</f>
        <v>18</v>
      </c>
      <c r="S255" s="95">
        <f>IF(AND(H255=H$19,LEN(H255)&gt;1,Q255=1),1,0)</f>
        <v>0</v>
      </c>
      <c r="V255" s="97">
        <f>VLOOKUP(18,R238:S261,2,0)</f>
        <v>0</v>
      </c>
      <c r="W255" s="95" t="str">
        <f t="shared" si="95"/>
        <v/>
      </c>
      <c r="X255" s="95">
        <f>IF(F$19=0,IF(AND(G255=G307,NOT(G255=G281),NOT(G255=G333),LEN(W255)&gt;0),2,IF(LEN(W255)=0,0,1)),0)</f>
        <v>0</v>
      </c>
      <c r="Y255" s="95" t="str">
        <f t="shared" si="96"/>
        <v xml:space="preserve"> 0-0</v>
      </c>
      <c r="Z255" s="95" t="str">
        <f t="shared" si="97"/>
        <v xml:space="preserve"> 0-0</v>
      </c>
      <c r="AA255" s="95" t="str">
        <f t="shared" si="98"/>
        <v xml:space="preserve"> 0-0</v>
      </c>
      <c r="AB255" s="95" t="str">
        <f t="shared" si="99"/>
        <v xml:space="preserve"> 0-0</v>
      </c>
      <c r="AC255" s="95" t="str">
        <f>IF(AND(LEN(W255)&gt;0,F$19=0),IF(X255=2,W255&amp;" +2, ",W255&amp;", "),"")</f>
        <v/>
      </c>
    </row>
    <row r="256" spans="1:29">
      <c r="A256" s="95">
        <v>19</v>
      </c>
      <c r="B256" s="95">
        <f>IF(Doubles!J82="",0,Doubles!J82)</f>
        <v>0</v>
      </c>
      <c r="C256" s="99" t="str">
        <f>IF(OR(LEFT(B256,LEN(B$20))=B$20,LEFT(B256,LEN(C$20))=C$20,LEN(B256)&lt;2),"",IF(B256="no pick","","Wrong pick"))</f>
        <v/>
      </c>
      <c r="D256" s="95">
        <f t="shared" si="86"/>
        <v>0</v>
      </c>
      <c r="E256" s="95">
        <f t="shared" si="87"/>
        <v>0</v>
      </c>
      <c r="G256" s="95" t="str">
        <f>IF(B256=0,"",IF(B256="no pick","No Pick",IF(LEFT(B256,LEN(B$20))=B$20,B$20,C$20)))</f>
        <v/>
      </c>
      <c r="H256" s="95" t="str">
        <f t="shared" si="88"/>
        <v>0-0</v>
      </c>
      <c r="I256" s="95" t="str">
        <f>IF(AND(J256=$I$2,F$20=0,NOT(E$20="")),IF(OR(AND(Y256=AA256,Z256=AB256),AND(Y256=AB256,Z256=AA256)),"",IF(AND(Y256=Z256,AA256=AB256),Y256&amp;" +2 v. "&amp;AA256&amp;" +2, ",IF(Y256=AA256,Z256&amp;" v. "&amp;AB256&amp;", ",IF(Z256=AB256,Y256&amp;" v. "&amp;AA256&amp;", ",IF(Y256=AB256,Z256&amp;" v. "&amp;AA256&amp;", ",IF(Z256=AA256,Y256&amp;" v. "&amp;AB256&amp;", ",Y256&amp;" v. "&amp;AA256&amp;", "&amp;Z256&amp;" v. "&amp;AB256&amp;", ")))))),"")</f>
        <v/>
      </c>
      <c r="J256" s="95">
        <f>D$20</f>
        <v>0</v>
      </c>
      <c r="K256" s="95" t="str">
        <f t="shared" si="89"/>
        <v>SR</v>
      </c>
      <c r="L256" s="95" t="str">
        <f t="shared" si="90"/>
        <v>0</v>
      </c>
      <c r="M256" s="95" t="str">
        <f t="shared" si="91"/>
        <v>0</v>
      </c>
      <c r="N256" s="95" t="str">
        <f t="shared" si="92"/>
        <v>0</v>
      </c>
      <c r="O256" s="95" t="str">
        <f t="shared" si="93"/>
        <v>0</v>
      </c>
      <c r="P256" s="95" t="str">
        <f t="shared" si="94"/>
        <v>0</v>
      </c>
      <c r="Q256" s="95">
        <f>IF(AND(G256=T$20,LEN(G256)&gt;1),1,0)</f>
        <v>0</v>
      </c>
      <c r="R256" s="97">
        <f>Doubles!G$20</f>
        <v>19</v>
      </c>
      <c r="S256" s="95">
        <f>IF(AND(H256=H$20,LEN(H256)&gt;1,Q256=1),1,0)</f>
        <v>0</v>
      </c>
      <c r="V256" s="97">
        <f>VLOOKUP(19,R238:S261,2,0)</f>
        <v>0</v>
      </c>
      <c r="W256" s="95" t="str">
        <f t="shared" si="95"/>
        <v/>
      </c>
      <c r="X256" s="95">
        <f>IF(F$20=0,IF(AND(G256=G308,NOT(G256=G282),NOT(G256=G334),LEN(W256)&gt;0),2,IF(LEN(W256)=0,0,1)),0)</f>
        <v>0</v>
      </c>
      <c r="Y256" s="95" t="str">
        <f t="shared" si="96"/>
        <v xml:space="preserve"> 0-0</v>
      </c>
      <c r="Z256" s="95" t="str">
        <f t="shared" si="97"/>
        <v xml:space="preserve"> 0-0</v>
      </c>
      <c r="AA256" s="95" t="str">
        <f t="shared" si="98"/>
        <v xml:space="preserve"> 0-0</v>
      </c>
      <c r="AB256" s="95" t="str">
        <f t="shared" si="99"/>
        <v xml:space="preserve"> 0-0</v>
      </c>
      <c r="AC256" s="95" t="str">
        <f>IF(AND(LEN(W256)&gt;0,F$20=0),IF(X256=2,W256&amp;" +2, ",W256&amp;", "),"")</f>
        <v/>
      </c>
    </row>
    <row r="257" spans="1:29">
      <c r="A257" s="95">
        <v>20</v>
      </c>
      <c r="B257" s="95">
        <f>IF(Doubles!J83="",0,Doubles!J83)</f>
        <v>0</v>
      </c>
      <c r="C257" s="99" t="str">
        <f>IF(OR(LEFT(B257,LEN(B$21))=B$21,LEFT(B257,LEN(C$21))=C$21,LEN(B257)&lt;2),"",IF(B257="no pick","","Wrong pick"))</f>
        <v/>
      </c>
      <c r="D257" s="95">
        <f t="shared" si="86"/>
        <v>0</v>
      </c>
      <c r="E257" s="95">
        <f t="shared" si="87"/>
        <v>0</v>
      </c>
      <c r="G257" s="95" t="str">
        <f>IF(B257=0,"",IF(B257="no pick","No Pick",IF(LEFT(B257,LEN(B$21))=B$21,B$21,C$21)))</f>
        <v/>
      </c>
      <c r="H257" s="95" t="str">
        <f t="shared" si="88"/>
        <v>0-0</v>
      </c>
      <c r="I257" s="95" t="str">
        <f>IF(AND(J257=$I$2,F$21=0,NOT(E$21="")),IF(OR(AND(Y257=AA257,Z257=AB257),AND(Y257=AB257,Z257=AA257)),"",IF(AND(Y257=Z257,AA257=AB257),Y257&amp;" +2 v. "&amp;AA257&amp;" +2, ",IF(Y257=AA257,Z257&amp;" v. "&amp;AB257&amp;", ",IF(Z257=AB257,Y257&amp;" v. "&amp;AA257&amp;", ",IF(Y257=AB257,Z257&amp;" v. "&amp;AA257&amp;", ",IF(Z257=AA257,Y257&amp;" v. "&amp;AB257&amp;", ",Y257&amp;" v. "&amp;AA257&amp;", "&amp;Z257&amp;" v. "&amp;AB257&amp;", ")))))),"")</f>
        <v/>
      </c>
      <c r="J257" s="95">
        <f>D$21</f>
        <v>0</v>
      </c>
      <c r="K257" s="95" t="str">
        <f t="shared" si="89"/>
        <v>SR</v>
      </c>
      <c r="L257" s="95" t="str">
        <f t="shared" si="90"/>
        <v>0</v>
      </c>
      <c r="M257" s="95" t="str">
        <f t="shared" si="91"/>
        <v>0</v>
      </c>
      <c r="N257" s="95" t="str">
        <f t="shared" si="92"/>
        <v>0</v>
      </c>
      <c r="O257" s="95" t="str">
        <f t="shared" si="93"/>
        <v>0</v>
      </c>
      <c r="P257" s="95" t="str">
        <f t="shared" si="94"/>
        <v>0</v>
      </c>
      <c r="Q257" s="95">
        <f>IF(AND(G257=T$21,LEN(G257)&gt;1),1,0)</f>
        <v>0</v>
      </c>
      <c r="R257" s="97">
        <f>Doubles!G$21</f>
        <v>20</v>
      </c>
      <c r="S257" s="95">
        <f>IF(AND(H257=H$21,LEN(H257)&gt;1,Q257=1),1,0)</f>
        <v>0</v>
      </c>
      <c r="V257" s="97">
        <f>VLOOKUP(20,R238:S261,2,0)</f>
        <v>0</v>
      </c>
      <c r="W257" s="95" t="str">
        <f t="shared" si="95"/>
        <v/>
      </c>
      <c r="X257" s="95">
        <f>IF(F$21=0,IF(AND(G257=G309,NOT(G257=G283),NOT(G257=G335),LEN(W257)&gt;0),2,IF(LEN(W257)=0,0,1)),0)</f>
        <v>0</v>
      </c>
      <c r="Y257" s="95" t="str">
        <f t="shared" si="96"/>
        <v xml:space="preserve"> 0-0</v>
      </c>
      <c r="Z257" s="95" t="str">
        <f t="shared" si="97"/>
        <v xml:space="preserve"> 0-0</v>
      </c>
      <c r="AA257" s="95" t="str">
        <f t="shared" si="98"/>
        <v xml:space="preserve"> 0-0</v>
      </c>
      <c r="AB257" s="95" t="str">
        <f t="shared" si="99"/>
        <v xml:space="preserve"> 0-0</v>
      </c>
      <c r="AC257" s="95" t="str">
        <f>IF(AND(LEN(W257)&gt;0,F$21=0),IF(X257=2,W257&amp;" +2, ",W257&amp;", "),"")</f>
        <v/>
      </c>
    </row>
    <row r="258" spans="1:29">
      <c r="A258" s="95">
        <v>21</v>
      </c>
      <c r="B258" s="95">
        <f>IF(Doubles!J84="",0,Doubles!J84)</f>
        <v>0</v>
      </c>
      <c r="C258" s="99" t="str">
        <f>IF(OR(LEFT(B258,LEN(B$22))=B$22,LEFT(B258,LEN(C$22))=C$22,LEN(B258)&lt;2),"",IF(B258="no pick","","Wrong pick"))</f>
        <v/>
      </c>
      <c r="D258" s="95">
        <f t="shared" si="86"/>
        <v>0</v>
      </c>
      <c r="E258" s="95">
        <f t="shared" si="87"/>
        <v>0</v>
      </c>
      <c r="G258" s="95" t="str">
        <f>IF(B258=0,"",IF(B258="no pick","No Pick",IF(LEFT(B258,LEN(B$22))=B$22,B$22,C$22)))</f>
        <v/>
      </c>
      <c r="H258" s="95" t="str">
        <f t="shared" si="88"/>
        <v>0-0</v>
      </c>
      <c r="I258" s="95" t="str">
        <f>IF(AND(J258=$I$2,F$22=0,NOT(E$22="")),IF(OR(AND(Y258=AA258,Z258=AB258),AND(Y258=AB258,Z258=AA258)),"",IF(AND(Y258=Z258,AA258=AB258),Y258&amp;" +2 v. "&amp;AA258&amp;" +2, ",IF(Y258=AA258,Z258&amp;" v. "&amp;AB258&amp;", ",IF(Z258=AB258,Y258&amp;" v. "&amp;AA258&amp;", ",IF(Y258=AB258,Z258&amp;" v. "&amp;AA258&amp;", ",IF(Z258=AA258,Y258&amp;" v. "&amp;AB258&amp;", ",Y258&amp;" v. "&amp;AA258&amp;", "&amp;Z258&amp;" v. "&amp;AB258&amp;", ")))))),"")</f>
        <v/>
      </c>
      <c r="J258" s="95">
        <f>D$22</f>
        <v>0</v>
      </c>
      <c r="K258" s="95" t="str">
        <f t="shared" si="89"/>
        <v>SR</v>
      </c>
      <c r="L258" s="95" t="str">
        <f t="shared" si="90"/>
        <v>0</v>
      </c>
      <c r="M258" s="95" t="str">
        <f t="shared" si="91"/>
        <v>0</v>
      </c>
      <c r="N258" s="95" t="str">
        <f t="shared" si="92"/>
        <v>0</v>
      </c>
      <c r="O258" s="95" t="str">
        <f t="shared" si="93"/>
        <v>0</v>
      </c>
      <c r="P258" s="95" t="str">
        <f t="shared" si="94"/>
        <v>0</v>
      </c>
      <c r="Q258" s="95">
        <f>IF(AND(G258=T$22,LEN(G258)&gt;1),1,0)</f>
        <v>0</v>
      </c>
      <c r="R258" s="97">
        <f>Doubles!G$22</f>
        <v>21</v>
      </c>
      <c r="S258" s="95">
        <f>IF(AND(H258=H$22,LEN(H258)&gt;1,Q258=1),1,0)</f>
        <v>0</v>
      </c>
      <c r="V258" s="97">
        <f>VLOOKUP(21,R238:S261,2,0)</f>
        <v>0</v>
      </c>
      <c r="W258" s="95" t="str">
        <f t="shared" si="95"/>
        <v/>
      </c>
      <c r="X258" s="95">
        <f>IF(F$22=0,IF(AND(G258=G310,NOT(G258=G284),NOT(G258=G336),LEN(W258)&gt;0),2,IF(LEN(W258)=0,0,1)),0)</f>
        <v>0</v>
      </c>
      <c r="Y258" s="95" t="str">
        <f t="shared" si="96"/>
        <v xml:space="preserve"> 0-0</v>
      </c>
      <c r="Z258" s="95" t="str">
        <f t="shared" si="97"/>
        <v xml:space="preserve"> 0-0</v>
      </c>
      <c r="AA258" s="95" t="str">
        <f t="shared" si="98"/>
        <v xml:space="preserve"> 0-0</v>
      </c>
      <c r="AB258" s="95" t="str">
        <f t="shared" si="99"/>
        <v xml:space="preserve"> 0-0</v>
      </c>
      <c r="AC258" s="95" t="str">
        <f>IF(AND(LEN(W258)&gt;0,F$22=0),IF(X258=2,W258&amp;" +2, ",W258&amp;", "),"")</f>
        <v/>
      </c>
    </row>
    <row r="259" spans="1:29">
      <c r="A259" s="95">
        <v>22</v>
      </c>
      <c r="B259" s="95">
        <f>IF(Doubles!J85="",0,Doubles!J85)</f>
        <v>0</v>
      </c>
      <c r="C259" s="99" t="str">
        <f>IF(OR(LEFT(B259,LEN(B$23))=B$23,LEFT(B259,LEN(C$23))=C$23,LEN(B259)&lt;2),"",IF(B259="no pick","","Wrong pick"))</f>
        <v/>
      </c>
      <c r="D259" s="95">
        <f t="shared" si="86"/>
        <v>0</v>
      </c>
      <c r="E259" s="95">
        <f t="shared" si="87"/>
        <v>0</v>
      </c>
      <c r="G259" s="95" t="str">
        <f>IF(B259=0,"",IF(B259="no pick","No Pick",IF(LEFT(B259,LEN(B$23))=B$23,B$23,C$23)))</f>
        <v/>
      </c>
      <c r="H259" s="95" t="str">
        <f t="shared" si="88"/>
        <v>0-0</v>
      </c>
      <c r="I259" s="95" t="str">
        <f>IF(AND(J259=$I$2,F$23=0,NOT(E$23="")),IF(OR(AND(Y259=AA259,Z259=AB259),AND(Y259=AB259,Z259=AA259)),"",IF(AND(Y259=Z259,AA259=AB259),Y259&amp;" +2 v. "&amp;AA259&amp;" +2, ",IF(Y259=AA259,Z259&amp;" v. "&amp;AB259&amp;", ",IF(Z259=AB259,Y259&amp;" v. "&amp;AA259&amp;", ",IF(Y259=AB259,Z259&amp;" v. "&amp;AA259&amp;", ",IF(Z259=AA259,Y259&amp;" v. "&amp;AB259&amp;", ",Y259&amp;" v. "&amp;AA259&amp;", "&amp;Z259&amp;" v. "&amp;AB259&amp;", ")))))),"")</f>
        <v/>
      </c>
      <c r="J259" s="95">
        <f>D$23</f>
        <v>0</v>
      </c>
      <c r="K259" s="95" t="str">
        <f t="shared" si="89"/>
        <v>SR</v>
      </c>
      <c r="L259" s="95" t="str">
        <f t="shared" si="90"/>
        <v>0</v>
      </c>
      <c r="M259" s="95" t="str">
        <f t="shared" si="91"/>
        <v>0</v>
      </c>
      <c r="N259" s="95" t="str">
        <f t="shared" si="92"/>
        <v>0</v>
      </c>
      <c r="O259" s="95" t="str">
        <f t="shared" si="93"/>
        <v>0</v>
      </c>
      <c r="P259" s="95" t="str">
        <f t="shared" si="94"/>
        <v>0</v>
      </c>
      <c r="Q259" s="95">
        <f>IF(AND(G259=T$23,LEN(G259)&gt;1),1,0)</f>
        <v>0</v>
      </c>
      <c r="R259" s="97">
        <f>Doubles!G$23</f>
        <v>22</v>
      </c>
      <c r="S259" s="95">
        <f>IF(AND(H259=H$23,LEN(H259)&gt;1,Q259=1),1,0)</f>
        <v>0</v>
      </c>
      <c r="V259" s="97">
        <f>VLOOKUP(22,R238:S261,2,0)</f>
        <v>0</v>
      </c>
      <c r="W259" s="95" t="str">
        <f t="shared" si="95"/>
        <v/>
      </c>
      <c r="X259" s="95">
        <f>IF(F$23=0,IF(AND(G259=G311,NOT(G259=G285),NOT(G259=G337),LEN(W259)&gt;0),2,IF(LEN(W259)=0,0,1)),0)</f>
        <v>0</v>
      </c>
      <c r="Y259" s="95" t="str">
        <f t="shared" si="96"/>
        <v xml:space="preserve"> 0-0</v>
      </c>
      <c r="Z259" s="95" t="str">
        <f t="shared" si="97"/>
        <v xml:space="preserve"> 0-0</v>
      </c>
      <c r="AA259" s="95" t="str">
        <f t="shared" si="98"/>
        <v xml:space="preserve"> 0-0</v>
      </c>
      <c r="AB259" s="95" t="str">
        <f t="shared" si="99"/>
        <v xml:space="preserve"> 0-0</v>
      </c>
      <c r="AC259" s="95" t="str">
        <f>IF(AND(LEN(W259)&gt;0,F$23=0),IF(X259=2,W259&amp;" +2, ",W259&amp;", "),"")</f>
        <v/>
      </c>
    </row>
    <row r="260" spans="1:29">
      <c r="A260" s="95">
        <v>23</v>
      </c>
      <c r="B260" s="95">
        <f>IF(Doubles!J86="",0,Doubles!J86)</f>
        <v>0</v>
      </c>
      <c r="C260" s="99" t="str">
        <f>IF(OR(LEFT(B260,LEN(B$24))=B$24,LEFT(B260,LEN(C$24))=C$24,LEN(B260)&lt;2),"",IF(B260="no pick","","Wrong pick"))</f>
        <v/>
      </c>
      <c r="D260" s="95">
        <f t="shared" si="86"/>
        <v>0</v>
      </c>
      <c r="E260" s="95">
        <f t="shared" si="87"/>
        <v>0</v>
      </c>
      <c r="G260" s="95" t="str">
        <f>IF(B260=0,"",IF(B260="no pick","No Pick",IF(LEFT(B260,LEN(B$24))=B$24,B$24,C$24)))</f>
        <v/>
      </c>
      <c r="H260" s="95" t="str">
        <f t="shared" si="88"/>
        <v>0-0</v>
      </c>
      <c r="I260" s="95" t="str">
        <f>IF(AND(J260=$I$2,F$24=0,NOT(E$24="")),IF(OR(AND(Y260=AA260,Z260=AB260),AND(Y260=AB260,Z260=AA260)),"",IF(AND(Y260=Z260,AA260=AB260),Y260&amp;" +2 v. "&amp;AA260&amp;" +2, ",IF(Y260=AA260,Z260&amp;" v. "&amp;AB260&amp;", ",IF(Z260=AB260,Y260&amp;" v. "&amp;AA260&amp;", ",IF(Y260=AB260,Z260&amp;" v. "&amp;AA260&amp;", ",IF(Z260=AA260,Y260&amp;" v. "&amp;AB260&amp;", ",Y260&amp;" v. "&amp;AA260&amp;", "&amp;Z260&amp;" v. "&amp;AB260&amp;", ")))))),"")</f>
        <v/>
      </c>
      <c r="J260" s="95">
        <f>D$24</f>
        <v>0</v>
      </c>
      <c r="K260" s="95" t="str">
        <f t="shared" si="89"/>
        <v>SR</v>
      </c>
      <c r="L260" s="95" t="str">
        <f t="shared" si="90"/>
        <v>0</v>
      </c>
      <c r="M260" s="95" t="str">
        <f t="shared" si="91"/>
        <v>0</v>
      </c>
      <c r="N260" s="95" t="str">
        <f t="shared" si="92"/>
        <v>0</v>
      </c>
      <c r="O260" s="95" t="str">
        <f t="shared" si="93"/>
        <v>0</v>
      </c>
      <c r="P260" s="95" t="str">
        <f t="shared" si="94"/>
        <v>0</v>
      </c>
      <c r="Q260" s="95">
        <f>IF(AND(G260=T$24,LEN(G260)&gt;1),1,0)</f>
        <v>0</v>
      </c>
      <c r="R260" s="97">
        <f>Doubles!G$24</f>
        <v>23</v>
      </c>
      <c r="S260" s="95">
        <f>IF(AND(H260=H$24,LEN(H260)&gt;1,Q260=1),1,0)</f>
        <v>0</v>
      </c>
      <c r="V260" s="97">
        <f>VLOOKUP(23,R238:S261,2,0)</f>
        <v>0</v>
      </c>
      <c r="W260" s="95" t="str">
        <f t="shared" si="95"/>
        <v/>
      </c>
      <c r="X260" s="95">
        <f>IF(F$24=0,IF(AND(G260=G312,NOT(G260=G286),NOT(G260=G338),LEN(W260)&gt;0),2,IF(LEN(W260)=0,0,1)),0)</f>
        <v>0</v>
      </c>
      <c r="Y260" s="95" t="str">
        <f t="shared" si="96"/>
        <v xml:space="preserve"> 0-0</v>
      </c>
      <c r="Z260" s="95" t="str">
        <f t="shared" si="97"/>
        <v xml:space="preserve"> 0-0</v>
      </c>
      <c r="AA260" s="95" t="str">
        <f t="shared" si="98"/>
        <v xml:space="preserve"> 0-0</v>
      </c>
      <c r="AB260" s="95" t="str">
        <f t="shared" si="99"/>
        <v xml:space="preserve"> 0-0</v>
      </c>
      <c r="AC260" s="95" t="str">
        <f>IF(AND(LEN(W260)&gt;0,F$24=0),IF(X260=2,W260&amp;" +2, ",W260&amp;", "),"")</f>
        <v/>
      </c>
    </row>
    <row r="261" spans="1:29">
      <c r="A261" s="95">
        <v>24</v>
      </c>
      <c r="B261" s="95">
        <f>IF(Doubles!J87="",0,Doubles!J87)</f>
        <v>0</v>
      </c>
      <c r="C261" s="99" t="str">
        <f>IF(OR(LEFT(B261,LEN(B$25))=B$25,LEFT(B261,LEN(C$25))=C$25,LEN(B261)&lt;2),"",IF(B261="no pick","","Wrong pick"))</f>
        <v/>
      </c>
      <c r="D261" s="95">
        <f t="shared" si="86"/>
        <v>0</v>
      </c>
      <c r="E261" s="95">
        <f t="shared" si="87"/>
        <v>0</v>
      </c>
      <c r="G261" s="95" t="str">
        <f>IF(B261=0,"",IF(B261="no pick","No Pick",IF(LEFT(B261,LEN(B$25))=B$25,B$25,C$25)))</f>
        <v/>
      </c>
      <c r="H261" s="95" t="str">
        <f t="shared" si="88"/>
        <v>0-0</v>
      </c>
      <c r="I261" s="95" t="str">
        <f>IF(AND(J261=$I$2,F$25=0,NOT(E$25="")),IF(OR(AND(Y261=AA261,Z261=AB261),AND(Y261=AB261,Z261=AA261)),"",IF(AND(Y261=Z261,AA261=AB261),Y261&amp;" +2 v. "&amp;AA261&amp;" +2, ",IF(Y261=AA261,Z261&amp;" v. "&amp;AB261&amp;", ",IF(Z261=AB261,Y261&amp;" v. "&amp;AA261&amp;", ",IF(Y261=AB261,Z261&amp;" v. "&amp;AA261&amp;", ",IF(Z261=AA261,Y261&amp;" v. "&amp;AB261&amp;", ",Y261&amp;" v. "&amp;AA261&amp;", "&amp;Z261&amp;" v. "&amp;AB261&amp;", ")))))),"")</f>
        <v/>
      </c>
      <c r="J261" s="95">
        <f>D$25</f>
        <v>0</v>
      </c>
      <c r="K261" s="95" t="str">
        <f t="shared" si="89"/>
        <v>SR</v>
      </c>
      <c r="L261" s="95" t="str">
        <f t="shared" si="90"/>
        <v>0</v>
      </c>
      <c r="M261" s="95" t="str">
        <f t="shared" si="91"/>
        <v>0</v>
      </c>
      <c r="N261" s="95" t="str">
        <f t="shared" si="92"/>
        <v>0</v>
      </c>
      <c r="O261" s="95" t="str">
        <f t="shared" si="93"/>
        <v>0</v>
      </c>
      <c r="P261" s="95" t="str">
        <f t="shared" si="94"/>
        <v>0</v>
      </c>
      <c r="Q261" s="95">
        <f>IF(AND(G261=T$25,LEN(G261)&gt;1),1,0)</f>
        <v>0</v>
      </c>
      <c r="R261" s="97">
        <f>Doubles!G$25</f>
        <v>24</v>
      </c>
      <c r="S261" s="95">
        <f>IF(AND(H261=H$25,LEN(H261)&gt;1,Q261=1),1,0)</f>
        <v>0</v>
      </c>
      <c r="V261" s="97">
        <f>VLOOKUP(24,R238:S261,2,0)</f>
        <v>0</v>
      </c>
      <c r="W261" s="95" t="str">
        <f t="shared" si="95"/>
        <v/>
      </c>
      <c r="X261" s="95">
        <f>IF(F$25=0,IF(AND(G261=G313,NOT(G261=G287),NOT(G261=G339),LEN(W261)&gt;0),2,IF(LEN(W261)=0,0,1)),0)</f>
        <v>0</v>
      </c>
      <c r="Y261" s="95" t="str">
        <f t="shared" si="96"/>
        <v xml:space="preserve"> 0-0</v>
      </c>
      <c r="Z261" s="95" t="str">
        <f t="shared" si="97"/>
        <v xml:space="preserve"> 0-0</v>
      </c>
      <c r="AA261" s="95" t="str">
        <f t="shared" si="98"/>
        <v xml:space="preserve"> 0-0</v>
      </c>
      <c r="AB261" s="95" t="str">
        <f t="shared" si="99"/>
        <v xml:space="preserve"> 0-0</v>
      </c>
      <c r="AC261" s="95" t="str">
        <f>IF(AND(LEN(W261)&gt;0,F$25=0),IF(X261=2,W261&amp;" +2, ",W261&amp;", "),"")</f>
        <v/>
      </c>
    </row>
    <row r="263" spans="1:29">
      <c r="A263" s="95" t="str">
        <f>IF(LEN(VLOOKUP(B263,Doubles!$A$2:$D$17,4,0))&gt;0,VLOOKUP(B263,Doubles!$A$2:$D$17,4,0),"")</f>
        <v/>
      </c>
      <c r="B263" s="96" t="str">
        <f>Doubles!L63</f>
        <v>Thales de Mileto</v>
      </c>
      <c r="C263" s="96">
        <v>2</v>
      </c>
      <c r="D263" s="95" t="str">
        <f>VLOOKUP(B263,Doubles!$A$2:$E$17,5,0)</f>
        <v>BRA</v>
      </c>
      <c r="J263" s="95" t="s">
        <v>88</v>
      </c>
      <c r="Q263" s="95" t="s">
        <v>121</v>
      </c>
      <c r="S263" s="95" t="s">
        <v>122</v>
      </c>
      <c r="T263" s="95" t="str">
        <f>IF(LEN(A263)&gt;0,"("&amp;A263&amp;") "&amp;B263,B263)</f>
        <v>Thales de Mileto</v>
      </c>
      <c r="V263" s="95" t="s">
        <v>122</v>
      </c>
      <c r="Z263" s="95" t="s">
        <v>129</v>
      </c>
    </row>
    <row r="264" spans="1:29">
      <c r="A264" s="95">
        <v>1</v>
      </c>
      <c r="B264" s="95">
        <f>IF(Doubles!L64="",0,Doubles!L64)</f>
        <v>0</v>
      </c>
      <c r="C264" s="99" t="str">
        <f>IF(OR(LEFT(B264,LEN(B$2))=B$2,LEFT(B264,LEN(C$2))=C$2,LEN(B264)&lt;2),"",IF(B264="no pick","","Wrong pick"))</f>
        <v/>
      </c>
      <c r="E264" s="95">
        <f t="shared" ref="E264:E287" si="100">IF(AND($I$2=J264,B264=0),1,0)</f>
        <v>1</v>
      </c>
      <c r="F264" s="95" t="str">
        <f>IF(AND(SUM(E264:E287)=$I$4,NOT(B263="Bye")),"Missing picks from "&amp;B263&amp;" ","")</f>
        <v xml:space="preserve">Missing picks from Thales de Mileto </v>
      </c>
      <c r="G264" s="95" t="str">
        <f>IF(B264=0,"",IF(B264="no pick","No Pick",IF(LEFT(B264,LEN(B$2))=B$2,B$2,C$2)))</f>
        <v/>
      </c>
      <c r="H264" s="95" t="str">
        <f t="shared" ref="H264:H287" si="101">IF(L264="","",IF(K264="PTS",IF(LEN(O264)&lt;8,"2-0","2-1"),LEFT(O264,1)&amp;"-"&amp;RIGHT(O264,1)))</f>
        <v>0-0</v>
      </c>
      <c r="J264" s="97">
        <f>D$2</f>
        <v>1</v>
      </c>
      <c r="K264" s="95" t="str">
        <f t="shared" ref="K264:K287" si="102">IF(LEN(L264)&gt;0,IF(LEN(O264)&lt;4,"SR","PTS"),"")</f>
        <v>SR</v>
      </c>
      <c r="L264" s="95" t="str">
        <f t="shared" ref="L264:L287" si="103">TRIM(RIGHT(B264,LEN(B264)-LEN(G264)))</f>
        <v>0</v>
      </c>
      <c r="M264" s="95" t="str">
        <f t="shared" ref="M264:M287" si="104">SUBSTITUTE(L264,"-","")</f>
        <v>0</v>
      </c>
      <c r="N264" s="95" t="str">
        <f t="shared" ref="N264:N287" si="105">SUBSTITUTE(M264,","," ")</f>
        <v>0</v>
      </c>
      <c r="O264" s="95" t="str">
        <f t="shared" ref="O264:O287" si="106">IF(AND(LEN(TRIM(SUBSTITUTE(P264,"/","")))&gt;6,OR(LEFT(TRIM(SUBSTITUTE(P264,"/","")),2)="20",LEFT(TRIM(SUBSTITUTE(P264,"/","")),2)="21")),RIGHT(TRIM(SUBSTITUTE(P264,"/","")),LEN(TRIM(SUBSTITUTE(P264,"/","")))-3),TRIM(SUBSTITUTE(P264,"/","")))</f>
        <v>0</v>
      </c>
      <c r="P264" s="95" t="str">
        <f t="shared" ref="P264:P287" si="107">SUBSTITUTE(N264,":","")</f>
        <v>0</v>
      </c>
      <c r="Q264" s="95">
        <f>IF(AND(G264=T$2,LEN(G264)&gt;1),1,0)</f>
        <v>0</v>
      </c>
      <c r="R264" s="97">
        <f>Doubles!G$2</f>
        <v>1</v>
      </c>
      <c r="S264" s="95">
        <f>IF(AND(H264=H$2,LEN(H264)&gt;1,Q264=1),1,0)</f>
        <v>0</v>
      </c>
      <c r="V264" s="97">
        <f>VLOOKUP(1,R264:S287,2,0)</f>
        <v>0</v>
      </c>
      <c r="W264" s="95">
        <v>1</v>
      </c>
      <c r="Y264" s="95">
        <f>COUNTIF(X238:X261,"&gt;0")</f>
        <v>5</v>
      </c>
    </row>
    <row r="265" spans="1:29">
      <c r="A265" s="95">
        <v>2</v>
      </c>
      <c r="B265" s="95">
        <f>IF(Doubles!L65="",0,Doubles!L65)</f>
        <v>0</v>
      </c>
      <c r="C265" s="99" t="str">
        <f>IF(OR(LEFT(B265,LEN(B$3))=B$3,LEFT(B265,LEN(C$3))=C$3,LEN(B265)&lt;2),"",IF(B265="no pick","","Wrong pick"))</f>
        <v/>
      </c>
      <c r="E265" s="95">
        <f t="shared" si="100"/>
        <v>1</v>
      </c>
      <c r="G265" s="95" t="str">
        <f>IF(B265=0,"",IF(B265="no pick","No Pick",IF(LEFT(B265,LEN(B$3))=B$3,B$3,C$3)))</f>
        <v/>
      </c>
      <c r="H265" s="95" t="str">
        <f t="shared" si="101"/>
        <v>0-0</v>
      </c>
      <c r="J265" s="97">
        <f>D$3</f>
        <v>1</v>
      </c>
      <c r="K265" s="95" t="str">
        <f t="shared" si="102"/>
        <v>SR</v>
      </c>
      <c r="L265" s="95" t="str">
        <f t="shared" si="103"/>
        <v>0</v>
      </c>
      <c r="M265" s="95" t="str">
        <f t="shared" si="104"/>
        <v>0</v>
      </c>
      <c r="N265" s="95" t="str">
        <f t="shared" si="105"/>
        <v>0</v>
      </c>
      <c r="O265" s="95" t="str">
        <f t="shared" si="106"/>
        <v>0</v>
      </c>
      <c r="P265" s="95" t="str">
        <f t="shared" si="107"/>
        <v>0</v>
      </c>
      <c r="Q265" s="95">
        <f>IF(AND(G265=T$3,LEN(G265)&gt;1),1,0)</f>
        <v>0</v>
      </c>
      <c r="R265" s="97">
        <f>Doubles!G$3</f>
        <v>2</v>
      </c>
      <c r="S265" s="95">
        <f>IF(AND(H265=H$3,LEN(H265)&gt;1,Q265=1),1,0)</f>
        <v>0</v>
      </c>
      <c r="V265" s="97">
        <f>VLOOKUP(2,R264:S287,2,0)</f>
        <v>0</v>
      </c>
      <c r="W265" s="95">
        <v>2</v>
      </c>
    </row>
    <row r="266" spans="1:29">
      <c r="A266" s="95">
        <v>3</v>
      </c>
      <c r="B266" s="95">
        <f>IF(Doubles!L66="",0,Doubles!L66)</f>
        <v>0</v>
      </c>
      <c r="C266" s="99" t="str">
        <f>IF(OR(LEFT(B266,LEN(B$4))=B$4,LEFT(B266,LEN(C$4))=C$4,LEN(B266)&lt;2),"",IF(B266="no pick","","Wrong pick"))</f>
        <v/>
      </c>
      <c r="E266" s="95">
        <f t="shared" si="100"/>
        <v>1</v>
      </c>
      <c r="G266" s="95" t="str">
        <f>IF(B266=0,"",IF(B266="no pick","No Pick",IF(LEFT(B266,LEN(B$4))=B$4,B$4,C$4)))</f>
        <v/>
      </c>
      <c r="H266" s="95" t="str">
        <f t="shared" si="101"/>
        <v>0-0</v>
      </c>
      <c r="J266" s="97">
        <f>D$4</f>
        <v>1</v>
      </c>
      <c r="K266" s="95" t="str">
        <f t="shared" si="102"/>
        <v>SR</v>
      </c>
      <c r="L266" s="95" t="str">
        <f t="shared" si="103"/>
        <v>0</v>
      </c>
      <c r="M266" s="95" t="str">
        <f t="shared" si="104"/>
        <v>0</v>
      </c>
      <c r="N266" s="95" t="str">
        <f t="shared" si="105"/>
        <v>0</v>
      </c>
      <c r="O266" s="95" t="str">
        <f t="shared" si="106"/>
        <v>0</v>
      </c>
      <c r="P266" s="95" t="str">
        <f t="shared" si="107"/>
        <v>0</v>
      </c>
      <c r="Q266" s="95">
        <f>IF(AND(G266=T$4,LEN(G266)&gt;1),1,0)</f>
        <v>0</v>
      </c>
      <c r="R266" s="97">
        <f>Doubles!G$4</f>
        <v>3</v>
      </c>
      <c r="S266" s="95">
        <f>IF(AND(H266=H$4,LEN(H266)&gt;1,Q266=1),1,0)</f>
        <v>0</v>
      </c>
      <c r="V266" s="97">
        <f>VLOOKUP(3,R264:S287,2,0)</f>
        <v>0</v>
      </c>
      <c r="W266" s="95">
        <v>3</v>
      </c>
    </row>
    <row r="267" spans="1:29">
      <c r="A267" s="95">
        <v>4</v>
      </c>
      <c r="B267" s="95">
        <f>IF(Doubles!L67="",0,Doubles!L67)</f>
        <v>0</v>
      </c>
      <c r="C267" s="99" t="str">
        <f>IF(OR(LEFT(B267,LEN(B$5))=B$5,LEFT(B267,LEN(C$5))=C$5,LEN(B267)&lt;2),"",IF(B267="no pick","","Wrong pick"))</f>
        <v/>
      </c>
      <c r="E267" s="95">
        <f t="shared" si="100"/>
        <v>1</v>
      </c>
      <c r="G267" s="95" t="str">
        <f>IF(B267=0,"",IF(B267="no pick","No Pick",IF(LEFT(B267,LEN(B$5))=B$5,B$5,C$5)))</f>
        <v/>
      </c>
      <c r="H267" s="95" t="str">
        <f t="shared" si="101"/>
        <v>0-0</v>
      </c>
      <c r="J267" s="97">
        <f>D$5</f>
        <v>1</v>
      </c>
      <c r="K267" s="95" t="str">
        <f t="shared" si="102"/>
        <v>SR</v>
      </c>
      <c r="L267" s="95" t="str">
        <f t="shared" si="103"/>
        <v>0</v>
      </c>
      <c r="M267" s="95" t="str">
        <f t="shared" si="104"/>
        <v>0</v>
      </c>
      <c r="N267" s="95" t="str">
        <f t="shared" si="105"/>
        <v>0</v>
      </c>
      <c r="O267" s="95" t="str">
        <f t="shared" si="106"/>
        <v>0</v>
      </c>
      <c r="P267" s="95" t="str">
        <f t="shared" si="107"/>
        <v>0</v>
      </c>
      <c r="Q267" s="95">
        <f>IF(AND(G267=T$5,LEN(G267)&gt;1),1,0)</f>
        <v>0</v>
      </c>
      <c r="R267" s="97">
        <f>Doubles!G$5</f>
        <v>4</v>
      </c>
      <c r="S267" s="95">
        <f>IF(AND(H267=H$5,LEN(H267)&gt;1,Q267=1),1,0)</f>
        <v>0</v>
      </c>
      <c r="V267" s="97">
        <f>VLOOKUP(4,R264:S287,2,0)</f>
        <v>0</v>
      </c>
      <c r="W267" s="95">
        <v>4</v>
      </c>
    </row>
    <row r="268" spans="1:29">
      <c r="A268" s="95">
        <v>5</v>
      </c>
      <c r="B268" s="95">
        <f>IF(Doubles!L68="",0,Doubles!L68)</f>
        <v>0</v>
      </c>
      <c r="C268" s="99" t="str">
        <f>IF(OR(LEFT(B268,LEN(B$6))=B$6,LEFT(B268,LEN(C$6))=C$6,LEN(B268)&lt;2),"",IF(B268="no pick","","Wrong pick"))</f>
        <v/>
      </c>
      <c r="E268" s="95">
        <f t="shared" si="100"/>
        <v>1</v>
      </c>
      <c r="G268" s="95" t="str">
        <f>IF(B268=0,"",IF(B268="no pick","No Pick",IF(LEFT(B268,LEN(B$6))=B$6,B$6,C$6)))</f>
        <v/>
      </c>
      <c r="H268" s="95" t="str">
        <f t="shared" si="101"/>
        <v>0-0</v>
      </c>
      <c r="J268" s="97">
        <f>D$6</f>
        <v>1</v>
      </c>
      <c r="K268" s="95" t="str">
        <f t="shared" si="102"/>
        <v>SR</v>
      </c>
      <c r="L268" s="95" t="str">
        <f t="shared" si="103"/>
        <v>0</v>
      </c>
      <c r="M268" s="95" t="str">
        <f t="shared" si="104"/>
        <v>0</v>
      </c>
      <c r="N268" s="95" t="str">
        <f t="shared" si="105"/>
        <v>0</v>
      </c>
      <c r="O268" s="95" t="str">
        <f t="shared" si="106"/>
        <v>0</v>
      </c>
      <c r="P268" s="95" t="str">
        <f t="shared" si="107"/>
        <v>0</v>
      </c>
      <c r="Q268" s="95">
        <f>IF(AND(G268=T$6,LEN(G268)&gt;1),1,0)</f>
        <v>0</v>
      </c>
      <c r="R268" s="97">
        <f>Doubles!G$6</f>
        <v>5</v>
      </c>
      <c r="S268" s="95">
        <f>IF(AND(H268=H$6,LEN(H268)&gt;1,Q268=1),1,0)</f>
        <v>0</v>
      </c>
      <c r="V268" s="97">
        <f>VLOOKUP(5,R264:S287,2,0)</f>
        <v>0</v>
      </c>
      <c r="W268" s="95">
        <v>5</v>
      </c>
    </row>
    <row r="269" spans="1:29">
      <c r="A269" s="95">
        <v>6</v>
      </c>
      <c r="B269" s="95">
        <f>IF(Doubles!L69="",0,Doubles!L69)</f>
        <v>0</v>
      </c>
      <c r="C269" s="99" t="str">
        <f>IF(OR(LEFT(B269,LEN(B$7))=B$7,LEFT(B269,LEN(C$7))=C$7,LEN(B269)&lt;2),"",IF(B269="no pick","","Wrong pick"))</f>
        <v/>
      </c>
      <c r="E269" s="95">
        <f t="shared" si="100"/>
        <v>1</v>
      </c>
      <c r="G269" s="95" t="str">
        <f>IF(B269=0,"",IF(B269="no pick","No Pick",IF(LEFT(B269,LEN(B$7))=B$7,B$7,C$7)))</f>
        <v/>
      </c>
      <c r="H269" s="95" t="str">
        <f t="shared" si="101"/>
        <v>0-0</v>
      </c>
      <c r="J269" s="97">
        <f>D$7</f>
        <v>1</v>
      </c>
      <c r="K269" s="95" t="str">
        <f t="shared" si="102"/>
        <v>SR</v>
      </c>
      <c r="L269" s="95" t="str">
        <f t="shared" si="103"/>
        <v>0</v>
      </c>
      <c r="M269" s="95" t="str">
        <f t="shared" si="104"/>
        <v>0</v>
      </c>
      <c r="N269" s="95" t="str">
        <f t="shared" si="105"/>
        <v>0</v>
      </c>
      <c r="O269" s="95" t="str">
        <f t="shared" si="106"/>
        <v>0</v>
      </c>
      <c r="P269" s="95" t="str">
        <f t="shared" si="107"/>
        <v>0</v>
      </c>
      <c r="Q269" s="95">
        <f>IF(AND(G269=T$7,LEN(G269)&gt;1),1,0)</f>
        <v>0</v>
      </c>
      <c r="R269" s="97">
        <f>Doubles!G$7</f>
        <v>6</v>
      </c>
      <c r="S269" s="95">
        <f>IF(AND(H269=H$7,LEN(H269)&gt;1,Q269=1),1,0)</f>
        <v>0</v>
      </c>
      <c r="V269" s="97">
        <f>VLOOKUP(6,R264:S287,2,0)</f>
        <v>0</v>
      </c>
      <c r="W269" s="95">
        <v>6</v>
      </c>
    </row>
    <row r="270" spans="1:29">
      <c r="A270" s="95">
        <v>7</v>
      </c>
      <c r="B270" s="95">
        <f>IF(Doubles!L70="",0,Doubles!L70)</f>
        <v>0</v>
      </c>
      <c r="C270" s="99" t="str">
        <f>IF(OR(LEFT(B270,LEN(B$8))=B$8,LEFT(B270,LEN(C$8))=C$8,LEN(B270)&lt;2),"",IF(B270="no pick","","Wrong pick"))</f>
        <v/>
      </c>
      <c r="E270" s="95">
        <f t="shared" si="100"/>
        <v>1</v>
      </c>
      <c r="G270" s="95" t="str">
        <f>IF(B270=0,"",IF(B270="no pick","No Pick",IF(LEFT(B270,LEN(B$8))=B$8,B$8,C$8)))</f>
        <v/>
      </c>
      <c r="H270" s="95" t="str">
        <f t="shared" si="101"/>
        <v>0-0</v>
      </c>
      <c r="J270" s="97">
        <f>D$8</f>
        <v>1</v>
      </c>
      <c r="K270" s="95" t="str">
        <f t="shared" si="102"/>
        <v>SR</v>
      </c>
      <c r="L270" s="95" t="str">
        <f t="shared" si="103"/>
        <v>0</v>
      </c>
      <c r="M270" s="95" t="str">
        <f t="shared" si="104"/>
        <v>0</v>
      </c>
      <c r="N270" s="95" t="str">
        <f t="shared" si="105"/>
        <v>0</v>
      </c>
      <c r="O270" s="95" t="str">
        <f t="shared" si="106"/>
        <v>0</v>
      </c>
      <c r="P270" s="95" t="str">
        <f t="shared" si="107"/>
        <v>0</v>
      </c>
      <c r="Q270" s="95">
        <f>IF(AND(G270=T$8,LEN(G270)&gt;1),1,0)</f>
        <v>0</v>
      </c>
      <c r="R270" s="97">
        <f>Doubles!G$8</f>
        <v>7</v>
      </c>
      <c r="S270" s="95">
        <f>IF(AND(H270=H$8,LEN(H270)&gt;1,Q270=1),1,0)</f>
        <v>0</v>
      </c>
      <c r="V270" s="97">
        <f>VLOOKUP(7,R264:S287,2,0)</f>
        <v>0</v>
      </c>
      <c r="W270" s="95">
        <v>7</v>
      </c>
    </row>
    <row r="271" spans="1:29">
      <c r="A271" s="95">
        <v>8</v>
      </c>
      <c r="B271" s="95">
        <f>IF(Doubles!L71="",0,Doubles!L71)</f>
        <v>0</v>
      </c>
      <c r="C271" s="99" t="str">
        <f>IF(OR(LEFT(B271,LEN(B$9))=B$9,LEFT(B271,LEN(C$9))=C$9,LEN(B271)&lt;2),"",IF(B271="no pick","","Wrong pick"))</f>
        <v/>
      </c>
      <c r="E271" s="95">
        <f t="shared" si="100"/>
        <v>1</v>
      </c>
      <c r="G271" s="95" t="str">
        <f>IF(B271=0,"",IF(B271="no pick","No Pick",IF(LEFT(B271,LEN(B$9))=B$9,B$9,C$9)))</f>
        <v/>
      </c>
      <c r="H271" s="95" t="str">
        <f t="shared" si="101"/>
        <v>0-0</v>
      </c>
      <c r="J271" s="97">
        <f>D$9</f>
        <v>1</v>
      </c>
      <c r="K271" s="95" t="str">
        <f t="shared" si="102"/>
        <v>SR</v>
      </c>
      <c r="L271" s="95" t="str">
        <f t="shared" si="103"/>
        <v>0</v>
      </c>
      <c r="M271" s="95" t="str">
        <f t="shared" si="104"/>
        <v>0</v>
      </c>
      <c r="N271" s="95" t="str">
        <f t="shared" si="105"/>
        <v>0</v>
      </c>
      <c r="O271" s="95" t="str">
        <f t="shared" si="106"/>
        <v>0</v>
      </c>
      <c r="P271" s="95" t="str">
        <f t="shared" si="107"/>
        <v>0</v>
      </c>
      <c r="Q271" s="95">
        <f>IF(AND(G271=T$9,LEN(G271)&gt;1),1,0)</f>
        <v>0</v>
      </c>
      <c r="R271" s="97">
        <f>Doubles!G$9</f>
        <v>8</v>
      </c>
      <c r="S271" s="95">
        <f>IF(AND(H271=H$9,LEN(H271)&gt;1,Q271=1),1,0)</f>
        <v>0</v>
      </c>
      <c r="V271" s="97">
        <f>VLOOKUP(8,R264:S287,2,0)</f>
        <v>0</v>
      </c>
      <c r="W271" s="95">
        <v>8</v>
      </c>
    </row>
    <row r="272" spans="1:29">
      <c r="A272" s="95">
        <v>9</v>
      </c>
      <c r="B272" s="95">
        <f>IF(Doubles!L72="",0,Doubles!L72)</f>
        <v>0</v>
      </c>
      <c r="C272" s="99" t="str">
        <f>IF(OR(LEFT(B272,LEN(B$10))=B$10,LEFT(B272,LEN(C$10))=C$10,LEN(B272)&lt;2),"",IF(B272="no pick","","Wrong pick"))</f>
        <v/>
      </c>
      <c r="E272" s="95">
        <f t="shared" si="100"/>
        <v>1</v>
      </c>
      <c r="G272" s="95" t="str">
        <f>IF(B272=0,"",IF(B272="no pick","No Pick",IF(LEFT(B272,LEN(B$10))=B$10,B$10,C$10)))</f>
        <v/>
      </c>
      <c r="H272" s="95" t="str">
        <f t="shared" si="101"/>
        <v>0-0</v>
      </c>
      <c r="J272" s="97">
        <f>D$10</f>
        <v>1</v>
      </c>
      <c r="K272" s="95" t="str">
        <f t="shared" si="102"/>
        <v>SR</v>
      </c>
      <c r="L272" s="95" t="str">
        <f t="shared" si="103"/>
        <v>0</v>
      </c>
      <c r="M272" s="95" t="str">
        <f t="shared" si="104"/>
        <v>0</v>
      </c>
      <c r="N272" s="95" t="str">
        <f t="shared" si="105"/>
        <v>0</v>
      </c>
      <c r="O272" s="95" t="str">
        <f t="shared" si="106"/>
        <v>0</v>
      </c>
      <c r="P272" s="95" t="str">
        <f t="shared" si="107"/>
        <v>0</v>
      </c>
      <c r="Q272" s="95">
        <f>IF(AND(G272=T$10,LEN(G272)&gt;1),1,0)</f>
        <v>0</v>
      </c>
      <c r="R272" s="97">
        <f>Doubles!G$10</f>
        <v>9</v>
      </c>
      <c r="S272" s="95">
        <f>IF(AND(H272=H$10,LEN(H272)&gt;1,Q272=1),1,0)</f>
        <v>0</v>
      </c>
      <c r="V272" s="97">
        <f>VLOOKUP(9,R264:S287,2,0)</f>
        <v>0</v>
      </c>
      <c r="W272" s="95">
        <v>9</v>
      </c>
    </row>
    <row r="273" spans="1:23">
      <c r="A273" s="95">
        <v>10</v>
      </c>
      <c r="B273" s="95">
        <f>IF(Doubles!L73="",0,Doubles!L73)</f>
        <v>0</v>
      </c>
      <c r="C273" s="99" t="str">
        <f>IF(OR(LEFT(B273,LEN(B$11))=B$11,LEFT(B273,LEN(C$11))=C$11,LEN(B273)&lt;2),"",IF(B273="no pick","","Wrong pick"))</f>
        <v/>
      </c>
      <c r="E273" s="95">
        <f t="shared" si="100"/>
        <v>1</v>
      </c>
      <c r="G273" s="95" t="str">
        <f>IF(B273=0,"",IF(B273="no pick","No Pick",IF(LEFT(B273,LEN(B$11))=B$11,B$11,C$11)))</f>
        <v/>
      </c>
      <c r="H273" s="95" t="str">
        <f t="shared" si="101"/>
        <v>0-0</v>
      </c>
      <c r="J273" s="97">
        <f>D$11</f>
        <v>1</v>
      </c>
      <c r="K273" s="95" t="str">
        <f t="shared" si="102"/>
        <v>SR</v>
      </c>
      <c r="L273" s="95" t="str">
        <f t="shared" si="103"/>
        <v>0</v>
      </c>
      <c r="M273" s="95" t="str">
        <f t="shared" si="104"/>
        <v>0</v>
      </c>
      <c r="N273" s="95" t="str">
        <f t="shared" si="105"/>
        <v>0</v>
      </c>
      <c r="O273" s="95" t="str">
        <f t="shared" si="106"/>
        <v>0</v>
      </c>
      <c r="P273" s="95" t="str">
        <f t="shared" si="107"/>
        <v>0</v>
      </c>
      <c r="Q273" s="95">
        <f>IF(AND(G273=T$11,LEN(G273)&gt;1),1,0)</f>
        <v>0</v>
      </c>
      <c r="R273" s="97">
        <f>Doubles!G$11</f>
        <v>10</v>
      </c>
      <c r="S273" s="95">
        <f>IF(AND(H273=H$11,LEN(H273)&gt;1,Q273=1),1,0)</f>
        <v>0</v>
      </c>
      <c r="V273" s="97">
        <f>VLOOKUP(10,R264:S287,2,0)</f>
        <v>0</v>
      </c>
      <c r="W273" s="95">
        <v>10</v>
      </c>
    </row>
    <row r="274" spans="1:23">
      <c r="A274" s="95">
        <v>11</v>
      </c>
      <c r="B274" s="95">
        <f>IF(Doubles!L74="",0,Doubles!L74)</f>
        <v>0</v>
      </c>
      <c r="C274" s="99" t="str">
        <f>IF(OR(LEFT(B274,LEN(B$12))=B$12,LEFT(B274,LEN(C$12))=C$12,LEN(B274)&lt;2),"",IF(B274="no pick","","Wrong pick"))</f>
        <v/>
      </c>
      <c r="E274" s="95">
        <f t="shared" si="100"/>
        <v>1</v>
      </c>
      <c r="G274" s="95" t="str">
        <f>IF(B274=0,"",IF(B274="no pick","No Pick",IF(LEFT(B274,LEN(B$12))=B$12,B$12,C$12)))</f>
        <v/>
      </c>
      <c r="H274" s="95" t="str">
        <f t="shared" si="101"/>
        <v>0-0</v>
      </c>
      <c r="J274" s="97">
        <f>D$12</f>
        <v>1</v>
      </c>
      <c r="K274" s="95" t="str">
        <f t="shared" si="102"/>
        <v>SR</v>
      </c>
      <c r="L274" s="95" t="str">
        <f t="shared" si="103"/>
        <v>0</v>
      </c>
      <c r="M274" s="95" t="str">
        <f t="shared" si="104"/>
        <v>0</v>
      </c>
      <c r="N274" s="95" t="str">
        <f t="shared" si="105"/>
        <v>0</v>
      </c>
      <c r="O274" s="95" t="str">
        <f t="shared" si="106"/>
        <v>0</v>
      </c>
      <c r="P274" s="95" t="str">
        <f t="shared" si="107"/>
        <v>0</v>
      </c>
      <c r="Q274" s="95">
        <f>IF(AND(G274=T$12,LEN(G274)&gt;1),1,0)</f>
        <v>0</v>
      </c>
      <c r="R274" s="97">
        <f>Doubles!G$12</f>
        <v>11</v>
      </c>
      <c r="S274" s="95">
        <f>IF(AND(H274=H$12,LEN(H274)&gt;1,Q274=1),1,0)</f>
        <v>0</v>
      </c>
      <c r="V274" s="97">
        <f>VLOOKUP(11,R264:S287,2,0)</f>
        <v>0</v>
      </c>
      <c r="W274" s="95">
        <v>11</v>
      </c>
    </row>
    <row r="275" spans="1:23">
      <c r="A275" s="95">
        <v>12</v>
      </c>
      <c r="B275" s="95">
        <f>IF(Doubles!L75="",0,Doubles!L75)</f>
        <v>0</v>
      </c>
      <c r="C275" s="99" t="str">
        <f>IF(OR(LEFT(B275,LEN(B$13))=B$13,LEFT(B275,LEN(C$13))=C$13,LEN(B275)&lt;2),"",IF(B275="no pick","","Wrong pick"))</f>
        <v/>
      </c>
      <c r="E275" s="95">
        <f t="shared" si="100"/>
        <v>1</v>
      </c>
      <c r="G275" s="95" t="str">
        <f>IF(B275=0,"",IF(B275="no pick","No Pick",IF(LEFT(B275,LEN(B$13))=B$13,B$13,C$13)))</f>
        <v/>
      </c>
      <c r="H275" s="95" t="str">
        <f t="shared" si="101"/>
        <v>0-0</v>
      </c>
      <c r="J275" s="97">
        <f>D$13</f>
        <v>1</v>
      </c>
      <c r="K275" s="95" t="str">
        <f t="shared" si="102"/>
        <v>SR</v>
      </c>
      <c r="L275" s="95" t="str">
        <f t="shared" si="103"/>
        <v>0</v>
      </c>
      <c r="M275" s="95" t="str">
        <f t="shared" si="104"/>
        <v>0</v>
      </c>
      <c r="N275" s="95" t="str">
        <f t="shared" si="105"/>
        <v>0</v>
      </c>
      <c r="O275" s="95" t="str">
        <f t="shared" si="106"/>
        <v>0</v>
      </c>
      <c r="P275" s="95" t="str">
        <f t="shared" si="107"/>
        <v>0</v>
      </c>
      <c r="Q275" s="95">
        <f>IF(AND(G275=T$13,LEN(G275)&gt;1),1,0)</f>
        <v>0</v>
      </c>
      <c r="R275" s="97">
        <f>Doubles!G$13</f>
        <v>12</v>
      </c>
      <c r="S275" s="95">
        <f>IF(AND(H275=H$13,LEN(H275)&gt;1,Q275=1),1,0)</f>
        <v>0</v>
      </c>
      <c r="V275" s="97">
        <f>VLOOKUP(12,R264:S287,2,0)</f>
        <v>0</v>
      </c>
      <c r="W275" s="95">
        <v>12</v>
      </c>
    </row>
    <row r="276" spans="1:23">
      <c r="A276" s="95">
        <v>13</v>
      </c>
      <c r="B276" s="95">
        <f>IF(Doubles!L76="",0,Doubles!L76)</f>
        <v>0</v>
      </c>
      <c r="C276" s="99" t="str">
        <f>IF(OR(LEFT(B276,LEN(B$14))=B$14,LEFT(B276,LEN(C$14))=C$14,LEN(B276)&lt;2),"",IF(B276="no pick","","Wrong pick"))</f>
        <v/>
      </c>
      <c r="E276" s="95">
        <f t="shared" si="100"/>
        <v>1</v>
      </c>
      <c r="G276" s="95" t="str">
        <f>IF(B276=0,"",IF(B276="no pick","No Pick",IF(LEFT(B276,LEN(B$14))=B$14,B$14,C$14)))</f>
        <v/>
      </c>
      <c r="H276" s="95" t="str">
        <f t="shared" si="101"/>
        <v>0-0</v>
      </c>
      <c r="J276" s="97">
        <f>D$14</f>
        <v>1</v>
      </c>
      <c r="K276" s="95" t="str">
        <f t="shared" si="102"/>
        <v>SR</v>
      </c>
      <c r="L276" s="95" t="str">
        <f t="shared" si="103"/>
        <v>0</v>
      </c>
      <c r="M276" s="95" t="str">
        <f t="shared" si="104"/>
        <v>0</v>
      </c>
      <c r="N276" s="95" t="str">
        <f t="shared" si="105"/>
        <v>0</v>
      </c>
      <c r="O276" s="95" t="str">
        <f t="shared" si="106"/>
        <v>0</v>
      </c>
      <c r="P276" s="95" t="str">
        <f t="shared" si="107"/>
        <v>0</v>
      </c>
      <c r="Q276" s="95">
        <f>IF(AND(G276=T$14,LEN(G276)&gt;1),1,0)</f>
        <v>0</v>
      </c>
      <c r="R276" s="97">
        <f>Doubles!G$14</f>
        <v>13</v>
      </c>
      <c r="S276" s="95">
        <f>IF(AND(H276=H$14,LEN(H276)&gt;1,Q276=1),1,0)</f>
        <v>0</v>
      </c>
      <c r="V276" s="97">
        <f>VLOOKUP(13,R264:S287,2,0)</f>
        <v>0</v>
      </c>
      <c r="W276" s="95">
        <v>13</v>
      </c>
    </row>
    <row r="277" spans="1:23">
      <c r="A277" s="95">
        <v>14</v>
      </c>
      <c r="B277" s="95">
        <f>IF(Doubles!L77="",0,Doubles!L77)</f>
        <v>0</v>
      </c>
      <c r="C277" s="99" t="str">
        <f>IF(OR(LEFT(B277,LEN(B$15))=B$15,LEFT(B277,LEN(C$15))=C$15,LEN(B277)&lt;2),"",IF(B277="no pick","","Wrong pick"))</f>
        <v/>
      </c>
      <c r="E277" s="95">
        <f t="shared" si="100"/>
        <v>1</v>
      </c>
      <c r="G277" s="95" t="str">
        <f>IF(B277=0,"",IF(B277="no pick","No Pick",IF(LEFT(B277,LEN(B$15))=B$15,B$15,C$15)))</f>
        <v/>
      </c>
      <c r="H277" s="95" t="str">
        <f t="shared" si="101"/>
        <v>0-0</v>
      </c>
      <c r="J277" s="97">
        <f>D$15</f>
        <v>1</v>
      </c>
      <c r="K277" s="95" t="str">
        <f t="shared" si="102"/>
        <v>SR</v>
      </c>
      <c r="L277" s="95" t="str">
        <f t="shared" si="103"/>
        <v>0</v>
      </c>
      <c r="M277" s="95" t="str">
        <f t="shared" si="104"/>
        <v>0</v>
      </c>
      <c r="N277" s="95" t="str">
        <f t="shared" si="105"/>
        <v>0</v>
      </c>
      <c r="O277" s="95" t="str">
        <f t="shared" si="106"/>
        <v>0</v>
      </c>
      <c r="P277" s="95" t="str">
        <f t="shared" si="107"/>
        <v>0</v>
      </c>
      <c r="Q277" s="95">
        <f>IF(AND(G277=T$15,LEN(G277)&gt;1),1,0)</f>
        <v>0</v>
      </c>
      <c r="R277" s="97">
        <f>Doubles!G$15</f>
        <v>14</v>
      </c>
      <c r="S277" s="95">
        <f>IF(AND(H277=H$15,LEN(H277)&gt;1,Q277=1),1,0)</f>
        <v>0</v>
      </c>
      <c r="V277" s="97">
        <f>VLOOKUP(14,R264:S287,2,0)</f>
        <v>0</v>
      </c>
      <c r="W277" s="95">
        <v>14</v>
      </c>
    </row>
    <row r="278" spans="1:23">
      <c r="A278" s="95">
        <v>15</v>
      </c>
      <c r="B278" s="95">
        <f>IF(Doubles!L78="",0,Doubles!L78)</f>
        <v>0</v>
      </c>
      <c r="C278" s="99" t="str">
        <f>IF(OR(LEFT(B278,LEN(B$16))=B$16,LEFT(B278,LEN(C$16))=C$16,LEN(B278)&lt;2),"",IF(B278="no pick","","Wrong pick"))</f>
        <v/>
      </c>
      <c r="E278" s="95">
        <f t="shared" si="100"/>
        <v>1</v>
      </c>
      <c r="G278" s="95" t="str">
        <f>IF(B278=0,"",IF(B278="no pick","No Pick",IF(LEFT(B278,LEN(B$16))=B$16,B$16,C$16)))</f>
        <v/>
      </c>
      <c r="H278" s="95" t="str">
        <f t="shared" si="101"/>
        <v>0-0</v>
      </c>
      <c r="J278" s="97">
        <f>D$16</f>
        <v>1</v>
      </c>
      <c r="K278" s="95" t="str">
        <f t="shared" si="102"/>
        <v>SR</v>
      </c>
      <c r="L278" s="95" t="str">
        <f t="shared" si="103"/>
        <v>0</v>
      </c>
      <c r="M278" s="95" t="str">
        <f t="shared" si="104"/>
        <v>0</v>
      </c>
      <c r="N278" s="95" t="str">
        <f t="shared" si="105"/>
        <v>0</v>
      </c>
      <c r="O278" s="95" t="str">
        <f t="shared" si="106"/>
        <v>0</v>
      </c>
      <c r="P278" s="95" t="str">
        <f t="shared" si="107"/>
        <v>0</v>
      </c>
      <c r="Q278" s="95">
        <f>IF(AND(G278=T$16,LEN(G278)&gt;1),1,0)</f>
        <v>0</v>
      </c>
      <c r="R278" s="97">
        <f>Doubles!G$16</f>
        <v>15</v>
      </c>
      <c r="S278" s="95">
        <f>IF(AND(H278=H$16,LEN(H278)&gt;1,Q278=1),1,0)</f>
        <v>0</v>
      </c>
      <c r="V278" s="97">
        <f>VLOOKUP(15,R264:S287,2,0)</f>
        <v>0</v>
      </c>
      <c r="W278" s="95">
        <v>15</v>
      </c>
    </row>
    <row r="279" spans="1:23">
      <c r="A279" s="95">
        <v>16</v>
      </c>
      <c r="B279" s="95">
        <f>IF(Doubles!L79="",0,Doubles!L79)</f>
        <v>0</v>
      </c>
      <c r="C279" s="99" t="str">
        <f>IF(OR(LEFT(B279,LEN(B$17))=B$17,LEFT(B279,LEN(C$17))=C$17,LEN(B279)&lt;2),"",IF(B279="no pick","","Wrong pick"))</f>
        <v/>
      </c>
      <c r="E279" s="95">
        <f t="shared" si="100"/>
        <v>1</v>
      </c>
      <c r="G279" s="95" t="str">
        <f>IF(B279=0,"",IF(B279="no pick","No Pick",IF(LEFT(B279,LEN(B$17))=B$17,B$17,C$17)))</f>
        <v/>
      </c>
      <c r="H279" s="95" t="str">
        <f t="shared" si="101"/>
        <v>0-0</v>
      </c>
      <c r="J279" s="97">
        <f>D$17</f>
        <v>1</v>
      </c>
      <c r="K279" s="95" t="str">
        <f t="shared" si="102"/>
        <v>SR</v>
      </c>
      <c r="L279" s="95" t="str">
        <f t="shared" si="103"/>
        <v>0</v>
      </c>
      <c r="M279" s="95" t="str">
        <f t="shared" si="104"/>
        <v>0</v>
      </c>
      <c r="N279" s="95" t="str">
        <f t="shared" si="105"/>
        <v>0</v>
      </c>
      <c r="O279" s="95" t="str">
        <f t="shared" si="106"/>
        <v>0</v>
      </c>
      <c r="P279" s="95" t="str">
        <f t="shared" si="107"/>
        <v>0</v>
      </c>
      <c r="Q279" s="95">
        <f>IF(AND(G279=T$17,LEN(G279)&gt;1),1,0)</f>
        <v>0</v>
      </c>
      <c r="R279" s="97">
        <f>Doubles!G$17</f>
        <v>16</v>
      </c>
      <c r="S279" s="95">
        <f>IF(AND(H279=H$17,LEN(H279)&gt;1,Q279=1),1,0)</f>
        <v>0</v>
      </c>
      <c r="V279" s="97">
        <f>VLOOKUP(16,R264:S287,2,0)</f>
        <v>0</v>
      </c>
      <c r="W279" s="95">
        <v>16</v>
      </c>
    </row>
    <row r="280" spans="1:23">
      <c r="A280" s="95">
        <v>17</v>
      </c>
      <c r="B280" s="95">
        <f>IF(Doubles!L80="",0,Doubles!L80)</f>
        <v>0</v>
      </c>
      <c r="C280" s="99" t="str">
        <f>IF(OR(LEFT(B280,LEN(B$18))=B$18,LEFT(B280,LEN(C$18))=C$18,LEN(B280)&lt;2),"",IF(B280="no pick","","Wrong pick"))</f>
        <v/>
      </c>
      <c r="E280" s="95">
        <f t="shared" si="100"/>
        <v>0</v>
      </c>
      <c r="G280" s="95" t="str">
        <f>IF(B280=0,"",IF(B280="no pick","No Pick",IF(LEFT(B280,LEN(B$18))=B$18,B$18,C$18)))</f>
        <v/>
      </c>
      <c r="H280" s="95" t="str">
        <f t="shared" si="101"/>
        <v>0-0</v>
      </c>
      <c r="J280" s="95">
        <f>D$18</f>
        <v>0</v>
      </c>
      <c r="K280" s="95" t="str">
        <f t="shared" si="102"/>
        <v>SR</v>
      </c>
      <c r="L280" s="95" t="str">
        <f t="shared" si="103"/>
        <v>0</v>
      </c>
      <c r="M280" s="95" t="str">
        <f t="shared" si="104"/>
        <v>0</v>
      </c>
      <c r="N280" s="95" t="str">
        <f t="shared" si="105"/>
        <v>0</v>
      </c>
      <c r="O280" s="95" t="str">
        <f t="shared" si="106"/>
        <v>0</v>
      </c>
      <c r="P280" s="95" t="str">
        <f t="shared" si="107"/>
        <v>0</v>
      </c>
      <c r="Q280" s="95">
        <f>IF(AND(G280=T$18,LEN(G280)&gt;1),1,0)</f>
        <v>0</v>
      </c>
      <c r="R280" s="97">
        <f>Doubles!G$18</f>
        <v>17</v>
      </c>
      <c r="S280" s="95">
        <f>IF(AND(H280=H$18,LEN(H280)&gt;1,Q280=1),1,0)</f>
        <v>0</v>
      </c>
      <c r="V280" s="97">
        <f>VLOOKUP(17,R264:S287,2,0)</f>
        <v>0</v>
      </c>
      <c r="W280" s="95">
        <v>17</v>
      </c>
    </row>
    <row r="281" spans="1:23">
      <c r="A281" s="95">
        <v>18</v>
      </c>
      <c r="B281" s="95">
        <f>IF(Doubles!L81="",0,Doubles!L81)</f>
        <v>0</v>
      </c>
      <c r="C281" s="99" t="str">
        <f>IF(OR(LEFT(B281,LEN(B$19))=B$19,LEFT(B281,LEN(C$19))=C$19,LEN(B281)&lt;2),"",IF(B281="no pick","","Wrong pick"))</f>
        <v/>
      </c>
      <c r="E281" s="95">
        <f t="shared" si="100"/>
        <v>0</v>
      </c>
      <c r="G281" s="95" t="str">
        <f>IF(B281=0,"",IF(B281="no pick","No Pick",IF(LEFT(B281,LEN(B$19))=B$19,B$19,C$19)))</f>
        <v/>
      </c>
      <c r="H281" s="95" t="str">
        <f t="shared" si="101"/>
        <v>0-0</v>
      </c>
      <c r="J281" s="95">
        <f>D$19</f>
        <v>0</v>
      </c>
      <c r="K281" s="95" t="str">
        <f t="shared" si="102"/>
        <v>SR</v>
      </c>
      <c r="L281" s="95" t="str">
        <f t="shared" si="103"/>
        <v>0</v>
      </c>
      <c r="M281" s="95" t="str">
        <f t="shared" si="104"/>
        <v>0</v>
      </c>
      <c r="N281" s="95" t="str">
        <f t="shared" si="105"/>
        <v>0</v>
      </c>
      <c r="O281" s="95" t="str">
        <f t="shared" si="106"/>
        <v>0</v>
      </c>
      <c r="P281" s="95" t="str">
        <f t="shared" si="107"/>
        <v>0</v>
      </c>
      <c r="Q281" s="95">
        <f>IF(AND(G281=T$19,LEN(G281)&gt;1),1,0)</f>
        <v>0</v>
      </c>
      <c r="R281" s="97">
        <f>Doubles!G$19</f>
        <v>18</v>
      </c>
      <c r="S281" s="95">
        <f>IF(AND(H281=H$19,LEN(H281)&gt;1,Q281=1),1,0)</f>
        <v>0</v>
      </c>
      <c r="V281" s="97">
        <f>VLOOKUP(18,R264:S287,2,0)</f>
        <v>0</v>
      </c>
      <c r="W281" s="95">
        <v>18</v>
      </c>
    </row>
    <row r="282" spans="1:23">
      <c r="A282" s="95">
        <v>19</v>
      </c>
      <c r="B282" s="95">
        <f>IF(Doubles!L82="",0,Doubles!L82)</f>
        <v>0</v>
      </c>
      <c r="C282" s="99" t="str">
        <f>IF(OR(LEFT(B282,LEN(B$20))=B$20,LEFT(B282,LEN(C$20))=C$20,LEN(B282)&lt;2),"",IF(B282="no pick","","Wrong pick"))</f>
        <v/>
      </c>
      <c r="E282" s="95">
        <f t="shared" si="100"/>
        <v>0</v>
      </c>
      <c r="G282" s="95" t="str">
        <f>IF(B282=0,"",IF(B282="no pick","No Pick",IF(LEFT(B282,LEN(B$20))=B$20,B$20,C$20)))</f>
        <v/>
      </c>
      <c r="H282" s="95" t="str">
        <f t="shared" si="101"/>
        <v>0-0</v>
      </c>
      <c r="J282" s="95">
        <f>D$20</f>
        <v>0</v>
      </c>
      <c r="K282" s="95" t="str">
        <f t="shared" si="102"/>
        <v>SR</v>
      </c>
      <c r="L282" s="95" t="str">
        <f t="shared" si="103"/>
        <v>0</v>
      </c>
      <c r="M282" s="95" t="str">
        <f t="shared" si="104"/>
        <v>0</v>
      </c>
      <c r="N282" s="95" t="str">
        <f t="shared" si="105"/>
        <v>0</v>
      </c>
      <c r="O282" s="95" t="str">
        <f t="shared" si="106"/>
        <v>0</v>
      </c>
      <c r="P282" s="95" t="str">
        <f t="shared" si="107"/>
        <v>0</v>
      </c>
      <c r="Q282" s="95">
        <f>IF(AND(G282=T$20,LEN(G282)&gt;1),1,0)</f>
        <v>0</v>
      </c>
      <c r="R282" s="97">
        <f>Doubles!G$20</f>
        <v>19</v>
      </c>
      <c r="S282" s="95">
        <f>IF(AND(H282=H$20,LEN(H282)&gt;1,Q282=1),1,0)</f>
        <v>0</v>
      </c>
      <c r="V282" s="97">
        <f>VLOOKUP(19,R264:S287,2,0)</f>
        <v>0</v>
      </c>
      <c r="W282" s="95">
        <v>19</v>
      </c>
    </row>
    <row r="283" spans="1:23">
      <c r="A283" s="95">
        <v>20</v>
      </c>
      <c r="B283" s="95">
        <f>IF(Doubles!L83="",0,Doubles!L83)</f>
        <v>0</v>
      </c>
      <c r="C283" s="99" t="str">
        <f>IF(OR(LEFT(B283,LEN(B$21))=B$21,LEFT(B283,LEN(C$21))=C$21,LEN(B283)&lt;2),"",IF(B283="no pick","","Wrong pick"))</f>
        <v/>
      </c>
      <c r="E283" s="95">
        <f t="shared" si="100"/>
        <v>0</v>
      </c>
      <c r="G283" s="95" t="str">
        <f>IF(B283=0,"",IF(B283="no pick","No Pick",IF(LEFT(B283,LEN(B$21))=B$21,B$21,C$21)))</f>
        <v/>
      </c>
      <c r="H283" s="95" t="str">
        <f t="shared" si="101"/>
        <v>0-0</v>
      </c>
      <c r="J283" s="95">
        <f>D$21</f>
        <v>0</v>
      </c>
      <c r="K283" s="95" t="str">
        <f t="shared" si="102"/>
        <v>SR</v>
      </c>
      <c r="L283" s="95" t="str">
        <f t="shared" si="103"/>
        <v>0</v>
      </c>
      <c r="M283" s="95" t="str">
        <f t="shared" si="104"/>
        <v>0</v>
      </c>
      <c r="N283" s="95" t="str">
        <f t="shared" si="105"/>
        <v>0</v>
      </c>
      <c r="O283" s="95" t="str">
        <f t="shared" si="106"/>
        <v>0</v>
      </c>
      <c r="P283" s="95" t="str">
        <f t="shared" si="107"/>
        <v>0</v>
      </c>
      <c r="Q283" s="95">
        <f>IF(AND(G283=T$21,LEN(G283)&gt;1),1,0)</f>
        <v>0</v>
      </c>
      <c r="R283" s="97">
        <f>Doubles!G$21</f>
        <v>20</v>
      </c>
      <c r="S283" s="95">
        <f>IF(AND(H283=H$21,LEN(H283)&gt;1,Q283=1),1,0)</f>
        <v>0</v>
      </c>
      <c r="V283" s="97">
        <f>VLOOKUP(20,R264:S287,2,0)</f>
        <v>0</v>
      </c>
      <c r="W283" s="95">
        <v>20</v>
      </c>
    </row>
    <row r="284" spans="1:23">
      <c r="A284" s="95">
        <v>21</v>
      </c>
      <c r="B284" s="95">
        <f>IF(Doubles!L84="",0,Doubles!L84)</f>
        <v>0</v>
      </c>
      <c r="C284" s="99" t="str">
        <f>IF(OR(LEFT(B284,LEN(B$22))=B$22,LEFT(B284,LEN(C$22))=C$22,LEN(B284)&lt;2),"",IF(B284="no pick","","Wrong pick"))</f>
        <v/>
      </c>
      <c r="E284" s="95">
        <f t="shared" si="100"/>
        <v>0</v>
      </c>
      <c r="G284" s="95" t="str">
        <f>IF(B284=0,"",IF(B284="no pick","No Pick",IF(LEFT(B284,LEN(B$22))=B$22,B$22,C$22)))</f>
        <v/>
      </c>
      <c r="H284" s="95" t="str">
        <f t="shared" si="101"/>
        <v>0-0</v>
      </c>
      <c r="J284" s="95">
        <f>D$22</f>
        <v>0</v>
      </c>
      <c r="K284" s="95" t="str">
        <f t="shared" si="102"/>
        <v>SR</v>
      </c>
      <c r="L284" s="95" t="str">
        <f t="shared" si="103"/>
        <v>0</v>
      </c>
      <c r="M284" s="95" t="str">
        <f t="shared" si="104"/>
        <v>0</v>
      </c>
      <c r="N284" s="95" t="str">
        <f t="shared" si="105"/>
        <v>0</v>
      </c>
      <c r="O284" s="95" t="str">
        <f t="shared" si="106"/>
        <v>0</v>
      </c>
      <c r="P284" s="95" t="str">
        <f t="shared" si="107"/>
        <v>0</v>
      </c>
      <c r="Q284" s="95">
        <f>IF(AND(G284=T$22,LEN(G284)&gt;1),1,0)</f>
        <v>0</v>
      </c>
      <c r="R284" s="97">
        <f>Doubles!G$22</f>
        <v>21</v>
      </c>
      <c r="S284" s="95">
        <f>IF(AND(H284=H$22,LEN(H284)&gt;1,Q284=1),1,0)</f>
        <v>0</v>
      </c>
      <c r="V284" s="97">
        <f>VLOOKUP(21,R264:S287,2,0)</f>
        <v>0</v>
      </c>
      <c r="W284" s="95">
        <v>21</v>
      </c>
    </row>
    <row r="285" spans="1:23">
      <c r="A285" s="95">
        <v>22</v>
      </c>
      <c r="B285" s="95">
        <f>IF(Doubles!L85="",0,Doubles!L85)</f>
        <v>0</v>
      </c>
      <c r="C285" s="99" t="str">
        <f>IF(OR(LEFT(B285,LEN(B$23))=B$23,LEFT(B285,LEN(C$23))=C$23,LEN(B285)&lt;2),"",IF(B285="no pick","","Wrong pick"))</f>
        <v/>
      </c>
      <c r="E285" s="95">
        <f t="shared" si="100"/>
        <v>0</v>
      </c>
      <c r="G285" s="95" t="str">
        <f>IF(B285=0,"",IF(B285="no pick","No Pick",IF(LEFT(B285,LEN(B$23))=B$23,B$23,C$23)))</f>
        <v/>
      </c>
      <c r="H285" s="95" t="str">
        <f t="shared" si="101"/>
        <v>0-0</v>
      </c>
      <c r="J285" s="95">
        <f>D$23</f>
        <v>0</v>
      </c>
      <c r="K285" s="95" t="str">
        <f t="shared" si="102"/>
        <v>SR</v>
      </c>
      <c r="L285" s="95" t="str">
        <f t="shared" si="103"/>
        <v>0</v>
      </c>
      <c r="M285" s="95" t="str">
        <f t="shared" si="104"/>
        <v>0</v>
      </c>
      <c r="N285" s="95" t="str">
        <f t="shared" si="105"/>
        <v>0</v>
      </c>
      <c r="O285" s="95" t="str">
        <f t="shared" si="106"/>
        <v>0</v>
      </c>
      <c r="P285" s="95" t="str">
        <f t="shared" si="107"/>
        <v>0</v>
      </c>
      <c r="Q285" s="95">
        <f>IF(AND(G285=T$23,LEN(G285)&gt;1),1,0)</f>
        <v>0</v>
      </c>
      <c r="R285" s="97">
        <f>Doubles!G$23</f>
        <v>22</v>
      </c>
      <c r="S285" s="95">
        <f>IF(AND(H285=H$23,LEN(H285)&gt;1,Q285=1),1,0)</f>
        <v>0</v>
      </c>
      <c r="V285" s="97">
        <f>VLOOKUP(22,R264:S287,2,0)</f>
        <v>0</v>
      </c>
      <c r="W285" s="95">
        <v>22</v>
      </c>
    </row>
    <row r="286" spans="1:23">
      <c r="A286" s="95">
        <v>23</v>
      </c>
      <c r="B286" s="95">
        <f>IF(Doubles!L86="",0,Doubles!L86)</f>
        <v>0</v>
      </c>
      <c r="C286" s="99" t="str">
        <f>IF(OR(LEFT(B286,LEN(B$24))=B$24,LEFT(B286,LEN(C$24))=C$24,LEN(B286)&lt;2),"",IF(B286="no pick","","Wrong pick"))</f>
        <v/>
      </c>
      <c r="E286" s="95">
        <f t="shared" si="100"/>
        <v>0</v>
      </c>
      <c r="G286" s="95" t="str">
        <f>IF(B286=0,"",IF(B286="no pick","No Pick",IF(LEFT(B286,LEN(B$24))=B$24,B$24,C$24)))</f>
        <v/>
      </c>
      <c r="H286" s="95" t="str">
        <f t="shared" si="101"/>
        <v>0-0</v>
      </c>
      <c r="J286" s="95">
        <f>D$24</f>
        <v>0</v>
      </c>
      <c r="K286" s="95" t="str">
        <f t="shared" si="102"/>
        <v>SR</v>
      </c>
      <c r="L286" s="95" t="str">
        <f t="shared" si="103"/>
        <v>0</v>
      </c>
      <c r="M286" s="95" t="str">
        <f t="shared" si="104"/>
        <v>0</v>
      </c>
      <c r="N286" s="95" t="str">
        <f t="shared" si="105"/>
        <v>0</v>
      </c>
      <c r="O286" s="95" t="str">
        <f t="shared" si="106"/>
        <v>0</v>
      </c>
      <c r="P286" s="95" t="str">
        <f t="shared" si="107"/>
        <v>0</v>
      </c>
      <c r="Q286" s="95">
        <f>IF(AND(G286=T$24,LEN(G286)&gt;1),1,0)</f>
        <v>0</v>
      </c>
      <c r="R286" s="97">
        <f>Doubles!G$24</f>
        <v>23</v>
      </c>
      <c r="S286" s="95">
        <f>IF(AND(H286=H$24,LEN(H286)&gt;1,Q286=1),1,0)</f>
        <v>0</v>
      </c>
      <c r="V286" s="97">
        <f>VLOOKUP(23,R264:S287,2,0)</f>
        <v>0</v>
      </c>
      <c r="W286" s="95">
        <v>23</v>
      </c>
    </row>
    <row r="287" spans="1:23">
      <c r="A287" s="95">
        <v>24</v>
      </c>
      <c r="B287" s="95">
        <f>IF(Doubles!L87="",0,Doubles!L87)</f>
        <v>0</v>
      </c>
      <c r="C287" s="99" t="str">
        <f>IF(OR(LEFT(B287,LEN(B$25))=B$25,LEFT(B287,LEN(C$25))=C$25,LEN(B287)&lt;2),"",IF(B287="no pick","","Wrong pick"))</f>
        <v/>
      </c>
      <c r="E287" s="95">
        <f t="shared" si="100"/>
        <v>0</v>
      </c>
      <c r="G287" s="95" t="str">
        <f>IF(B287=0,"",IF(B287="no pick","No Pick",IF(LEFT(B287,LEN(B$25))=B$25,B$25,C$25)))</f>
        <v/>
      </c>
      <c r="H287" s="95" t="str">
        <f t="shared" si="101"/>
        <v>0-0</v>
      </c>
      <c r="J287" s="95">
        <f>D$25</f>
        <v>0</v>
      </c>
      <c r="K287" s="95" t="str">
        <f t="shared" si="102"/>
        <v>SR</v>
      </c>
      <c r="L287" s="95" t="str">
        <f t="shared" si="103"/>
        <v>0</v>
      </c>
      <c r="M287" s="95" t="str">
        <f t="shared" si="104"/>
        <v>0</v>
      </c>
      <c r="N287" s="95" t="str">
        <f t="shared" si="105"/>
        <v>0</v>
      </c>
      <c r="O287" s="95" t="str">
        <f t="shared" si="106"/>
        <v>0</v>
      </c>
      <c r="P287" s="95" t="str">
        <f t="shared" si="107"/>
        <v>0</v>
      </c>
      <c r="Q287" s="95">
        <f>IF(AND(G287=T$25,LEN(G287)&gt;1),1,0)</f>
        <v>0</v>
      </c>
      <c r="R287" s="97">
        <f>Doubles!G$25</f>
        <v>24</v>
      </c>
      <c r="S287" s="95">
        <f>IF(AND(H287=H$25,LEN(H287)&gt;1,Q287=1),1,0)</f>
        <v>0</v>
      </c>
      <c r="V287" s="97">
        <f>VLOOKUP(24,R264:S287,2,0)</f>
        <v>0</v>
      </c>
      <c r="W287" s="95">
        <v>24</v>
      </c>
    </row>
    <row r="288" spans="1:23">
      <c r="L288" s="98" t="s">
        <v>120</v>
      </c>
      <c r="W288" s="95">
        <v>25</v>
      </c>
    </row>
    <row r="289" spans="1:29">
      <c r="A289" s="95">
        <f>IF(LEN(VLOOKUP(B289,Doubles!$B$2:$D$17,3,0))&gt;0,VLOOKUP(B289,Doubles!$B$2:$D$17,3,0),"")</f>
        <v>2</v>
      </c>
      <c r="B289" s="96" t="str">
        <f>Doubles!K63</f>
        <v>RNW</v>
      </c>
      <c r="C289" s="96">
        <v>3</v>
      </c>
      <c r="D289" s="95" t="str">
        <f>VLOOKUP(B289,Doubles!$B$2:$F$17,5,0)</f>
        <v>SUI</v>
      </c>
      <c r="J289" s="95" t="s">
        <v>88</v>
      </c>
      <c r="Q289" s="95" t="s">
        <v>121</v>
      </c>
      <c r="S289" s="95" t="s">
        <v>122</v>
      </c>
      <c r="T289" s="95" t="str">
        <f>B289</f>
        <v>RNW</v>
      </c>
      <c r="V289" s="95" t="s">
        <v>122</v>
      </c>
    </row>
    <row r="290" spans="1:29">
      <c r="A290" s="95">
        <v>1</v>
      </c>
      <c r="B290" s="95" t="str">
        <f>IF(Doubles!K64="",0,Doubles!K64)</f>
        <v>GHEM 20</v>
      </c>
      <c r="C290" s="99" t="str">
        <f>IF(OR(LEFT(B290,LEN(B$2))=B$2,LEFT(B290,LEN(C$2))=C$2,LEN(B290)&lt;2),"",IF(B290="no pick","","Wrong pick"))</f>
        <v/>
      </c>
      <c r="D290" s="95">
        <f t="shared" ref="D290:D313" si="108">IF(G290=G316,0,1)</f>
        <v>0</v>
      </c>
      <c r="E290" s="95">
        <f t="shared" ref="E290:E313" si="109">IF(AND($I$2=J290,B290=0),1,0)</f>
        <v>0</v>
      </c>
      <c r="F290" s="95" t="str">
        <f>IF(AND(SUM(E290:E313)=$I$4,NOT(B289="Bye")),"Missing picks from "&amp;B289&amp;" ","")</f>
        <v/>
      </c>
      <c r="G290" s="95" t="str">
        <f>IF(B290=0,"",IF(B290="no pick","No Pick",IF(LEFT(B290,LEN(B$2))=B$2,B$2,C$2)))</f>
        <v>Ghem</v>
      </c>
      <c r="H290" s="95" t="str">
        <f t="shared" ref="H290:H313" si="110">IF(L290="","",IF(K290="PTS",IF(LEN(O290)&lt;8,"2-0","2-1"),LEFT(O290,1)&amp;"-"&amp;RIGHT(O290,1)))</f>
        <v>2-0</v>
      </c>
      <c r="I290" s="95" t="str">
        <f>IF(AND(J290=$I$2,F$2=0,NOT(E$2="")),IF(OR(AND(Y290=AA290,Z290=AB290),AND(Y290=AB290,Z290=AA290)),"",IF(AND(Y290=Z290,AA290=AB290),Y290&amp;" +2 v. "&amp;AA290&amp;" +2, ",IF(Y290=AA290,Z290&amp;" v. "&amp;AB290&amp;", ",IF(Z290=AB290,Y290&amp;" v. "&amp;AA290&amp;", ",IF(Y290=AB290,Z290&amp;" v. "&amp;AA290&amp;", ",IF(Z290=AA290,Y290&amp;" v. "&amp;AB290&amp;", ",Y290&amp;" v. "&amp;AA290&amp;", "&amp;Z290&amp;" v. "&amp;AB290&amp;", ")))))),"")</f>
        <v/>
      </c>
      <c r="J290" s="97">
        <f>D$2</f>
        <v>1</v>
      </c>
      <c r="K290" s="95" t="str">
        <f t="shared" ref="K290:K313" si="111">IF(LEN(L290)&gt;0,IF(LEN(O290)&lt;4,"SR","PTS"),"")</f>
        <v>SR</v>
      </c>
      <c r="L290" s="95" t="str">
        <f t="shared" ref="L290:L313" si="112">TRIM(RIGHT(B290,LEN(B290)-LEN(G290)))</f>
        <v>20</v>
      </c>
      <c r="M290" s="95" t="str">
        <f t="shared" ref="M290:M313" si="113">SUBSTITUTE(L290,"-","")</f>
        <v>20</v>
      </c>
      <c r="N290" s="95" t="str">
        <f t="shared" ref="N290:N313" si="114">SUBSTITUTE(M290,","," ")</f>
        <v>20</v>
      </c>
      <c r="O290" s="95" t="str">
        <f t="shared" ref="O290:O313" si="115">IF(AND(LEN(TRIM(SUBSTITUTE(P290,"/","")))&gt;6,OR(LEFT(TRIM(SUBSTITUTE(P290,"/","")),2)="20",LEFT(TRIM(SUBSTITUTE(P290,"/","")),2)="21")),RIGHT(TRIM(SUBSTITUTE(P290,"/","")),LEN(TRIM(SUBSTITUTE(P290,"/","")))-3),TRIM(SUBSTITUTE(P290,"/","")))</f>
        <v>20</v>
      </c>
      <c r="P290" s="95" t="str">
        <f t="shared" ref="P290:P313" si="116">SUBSTITUTE(N290,":","")</f>
        <v>20</v>
      </c>
      <c r="Q290" s="95">
        <f>IF(AND(G290=T$2,LEN(G290)&gt;1),1,0)</f>
        <v>0</v>
      </c>
      <c r="R290" s="97">
        <f>Doubles!G$2</f>
        <v>1</v>
      </c>
      <c r="S290" s="95">
        <f>IF(AND(H290=H$2,LEN(H290)&gt;1,Q290=1),1,0)</f>
        <v>0</v>
      </c>
      <c r="T290" s="95" t="str">
        <f>" SR Differences: "&amp;IF(LEN(I290&amp;I291&amp;I292&amp;I293&amp;I294&amp;I295&amp;I296&amp;I297&amp;I298&amp;I299&amp;I300&amp;I301&amp;I302&amp;I303&amp;I304&amp;I305)&lt;3,"None..",I290&amp;I291&amp;I292&amp;I293&amp;I294&amp;I295&amp;I296&amp;I297&amp;I298&amp;I299&amp;I300&amp;I301&amp;I302&amp;I303&amp;I304&amp;I305)</f>
        <v xml:space="preserve"> SR Differences: None..</v>
      </c>
      <c r="V290" s="97">
        <f>VLOOKUP(1,R290:S313,2,0)</f>
        <v>0</v>
      </c>
      <c r="W290" s="95" t="str">
        <f t="shared" ref="W290:W313" si="117">IF(J238=$I$2,IF(OR(G238&amp;G290=G264&amp;G316,G238&amp;G290=G316&amp;G264),"",IF(G264=G316,G264,IF(OR(G238=G264,G264=G290),G316,IF(OR(G316=G238,G290=G316),G264,G264&amp;", "&amp;G316)))),"")</f>
        <v/>
      </c>
      <c r="X290" s="95">
        <f>IF(F$2=0,IF(AND(G264=G316,NOT(G238=G264),NOT(G290=G316),LEN(W238)&gt;0),2,IF(LEN(W238)=0,0,1)),0)</f>
        <v>0</v>
      </c>
      <c r="AC290" s="95" t="str">
        <f>IF(AND(LEN(W290)&gt;0,F$2=0),IF(X290=2,W290&amp;" +2, ",W290&amp;", "),"")</f>
        <v/>
      </c>
    </row>
    <row r="291" spans="1:29">
      <c r="A291" s="95">
        <v>2</v>
      </c>
      <c r="B291" s="95" t="str">
        <f>IF(Doubles!K65="",0,Doubles!K65)</f>
        <v>MACHADO 20</v>
      </c>
      <c r="C291" s="99" t="str">
        <f>IF(OR(LEFT(B291,LEN(B$3))=B$3,LEFT(B291,LEN(C$3))=C$3,LEN(B291)&lt;2),"",IF(B291="no pick","","Wrong pick"))</f>
        <v/>
      </c>
      <c r="D291" s="95">
        <f t="shared" si="108"/>
        <v>0</v>
      </c>
      <c r="E291" s="95">
        <f t="shared" si="109"/>
        <v>0</v>
      </c>
      <c r="G291" s="95" t="str">
        <f>IF(B291=0,"",IF(B291="no pick","No Pick",IF(LEFT(B291,LEN(B$3))=B$3,B$3,C$3)))</f>
        <v>Machado</v>
      </c>
      <c r="H291" s="95" t="str">
        <f t="shared" si="110"/>
        <v>2-0</v>
      </c>
      <c r="I291" s="95" t="str">
        <f>IF(AND(J291=$I$2,F$3=0,NOT(E$3="")),IF(OR(AND(Y291=AA291,Z291=AB291),AND(Y291=AB291,Z291=AA291)),"",IF(AND(Y291=Z291,AA291=AB291),Y291&amp;" +2 v. "&amp;AA291&amp;" +2, ",IF(Y291=AA291,Z291&amp;" v. "&amp;AB291&amp;", ",IF(Z291=AB291,Y291&amp;" v. "&amp;AA291&amp;", ",IF(Y291=AB291,Z291&amp;" v. "&amp;AA291&amp;", ",IF(Z291=AA291,Y291&amp;" v. "&amp;AB291&amp;", ",Y291&amp;" v. "&amp;AA291&amp;", "&amp;Z291&amp;" v. "&amp;AB291&amp;", ")))))),"")</f>
        <v/>
      </c>
      <c r="J291" s="97">
        <f>D$3</f>
        <v>1</v>
      </c>
      <c r="K291" s="95" t="str">
        <f t="shared" si="111"/>
        <v>SR</v>
      </c>
      <c r="L291" s="95" t="str">
        <f t="shared" si="112"/>
        <v>20</v>
      </c>
      <c r="M291" s="95" t="str">
        <f t="shared" si="113"/>
        <v>20</v>
      </c>
      <c r="N291" s="95" t="str">
        <f t="shared" si="114"/>
        <v>20</v>
      </c>
      <c r="O291" s="95" t="str">
        <f t="shared" si="115"/>
        <v>20</v>
      </c>
      <c r="P291" s="95" t="str">
        <f t="shared" si="116"/>
        <v>20</v>
      </c>
      <c r="Q291" s="95">
        <f>IF(AND(G291=T$3,LEN(G291)&gt;1),1,0)</f>
        <v>0</v>
      </c>
      <c r="R291" s="97">
        <f>Doubles!G$3</f>
        <v>2</v>
      </c>
      <c r="S291" s="95">
        <f>IF(AND(H291=H$3,LEN(H291)&gt;1,Q291=1),1,0)</f>
        <v>0</v>
      </c>
      <c r="T291" s="95" t="e">
        <f>IF(T292&gt;0,LEFT(E290,LEN(E290)-2)&amp;" vs. "&amp;LEFT(E316,LEN(E316)-2),"Same winners;")</f>
        <v>#VALUE!</v>
      </c>
      <c r="V291" s="97">
        <f>VLOOKUP(2,R290:S313,2,0)</f>
        <v>0</v>
      </c>
      <c r="W291" s="95" t="str">
        <f t="shared" si="117"/>
        <v/>
      </c>
      <c r="X291" s="95">
        <f>IF(F$3=0,IF(AND(G265=G317,NOT(G239=G265),NOT(G291=G317),LEN(W239)&gt;0),2,IF(LEN(W239)=0,0,1)),0)</f>
        <v>0</v>
      </c>
      <c r="AC291" s="95" t="str">
        <f>IF(AND(LEN(W291)&gt;0,F$3=0),IF(X291=2,W291&amp;" +2, ",W291&amp;", "),"")</f>
        <v/>
      </c>
    </row>
    <row r="292" spans="1:29">
      <c r="A292" s="95">
        <v>3</v>
      </c>
      <c r="B292" s="95" t="str">
        <f>IF(Doubles!K66="",0,Doubles!K66)</f>
        <v>JUNQUEIRA 20</v>
      </c>
      <c r="C292" s="99" t="str">
        <f>IF(OR(LEFT(B292,LEN(B$4))=B$4,LEFT(B292,LEN(C$4))=C$4,LEN(B292)&lt;2),"",IF(B292="no pick","","Wrong pick"))</f>
        <v/>
      </c>
      <c r="D292" s="95">
        <f t="shared" si="108"/>
        <v>0</v>
      </c>
      <c r="E292" s="95">
        <f t="shared" si="109"/>
        <v>0</v>
      </c>
      <c r="G292" s="95" t="str">
        <f>IF(B292=0,"",IF(B292="no pick","No Pick",IF(LEFT(B292,LEN(B$4))=B$4,B$4,C$4)))</f>
        <v>Junqueira</v>
      </c>
      <c r="H292" s="95" t="str">
        <f t="shared" si="110"/>
        <v>2-0</v>
      </c>
      <c r="I292" s="95" t="str">
        <f>IF(AND(J292=$I$2,F$4=0,NOT(E$4="")),IF(OR(AND(Y292=AA292,Z292=AB292),AND(Y292=AB292,Z292=AA292)),"",IF(AND(Y292=Z292,AA292=AB292),Y292&amp;" +2 v. "&amp;AA292&amp;" +2, ",IF(Y292=AA292,Z292&amp;" v. "&amp;AB292&amp;", ",IF(Z292=AB292,Y292&amp;" v. "&amp;AA292&amp;", ",IF(Y292=AB292,Z292&amp;" v. "&amp;AA292&amp;", ",IF(Z292=AA292,Y292&amp;" v. "&amp;AB292&amp;", ",Y292&amp;" v. "&amp;AA292&amp;", "&amp;Z292&amp;" v. "&amp;AB292&amp;", ")))))),"")</f>
        <v/>
      </c>
      <c r="J292" s="97">
        <f>D$4</f>
        <v>1</v>
      </c>
      <c r="K292" s="95" t="str">
        <f t="shared" si="111"/>
        <v>SR</v>
      </c>
      <c r="L292" s="95" t="str">
        <f t="shared" si="112"/>
        <v>20</v>
      </c>
      <c r="M292" s="95" t="str">
        <f t="shared" si="113"/>
        <v>20</v>
      </c>
      <c r="N292" s="95" t="str">
        <f t="shared" si="114"/>
        <v>20</v>
      </c>
      <c r="O292" s="95" t="str">
        <f t="shared" si="115"/>
        <v>20</v>
      </c>
      <c r="P292" s="95" t="str">
        <f t="shared" si="116"/>
        <v>20</v>
      </c>
      <c r="Q292" s="95">
        <f>IF(AND(G292=T$4,LEN(G292)&gt;1),1,0)</f>
        <v>0</v>
      </c>
      <c r="R292" s="97">
        <f>Doubles!G$4</f>
        <v>3</v>
      </c>
      <c r="S292" s="95">
        <f>IF(AND(H292=H$4,LEN(H292)&gt;1,Q292=1),1,0)</f>
        <v>0</v>
      </c>
      <c r="T292" s="101">
        <f>SUMIF(J290:J305,$I$2,D290:D305)</f>
        <v>5</v>
      </c>
      <c r="V292" s="97">
        <f>VLOOKUP(3,R290:S313,2,0)</f>
        <v>0</v>
      </c>
      <c r="W292" s="95" t="str">
        <f t="shared" si="117"/>
        <v/>
      </c>
      <c r="X292" s="95">
        <f>IF(F$4=0,IF(AND(G266=G318,NOT(G240=G266),NOT(G292=G318),LEN(W240)&gt;0),2,IF(LEN(W240)=0,0,1)),0)</f>
        <v>0</v>
      </c>
      <c r="AC292" s="95" t="str">
        <f>IF(AND(LEN(W292)&gt;0,F$4=0),IF(X292=2,W292&amp;" +2, ",W292&amp;", "),"")</f>
        <v/>
      </c>
    </row>
    <row r="293" spans="1:29">
      <c r="A293" s="95">
        <v>4</v>
      </c>
      <c r="B293" s="95" t="str">
        <f>IF(Doubles!K67="",0,Doubles!K67)</f>
        <v>LARANJA 20</v>
      </c>
      <c r="C293" s="99" t="str">
        <f>IF(OR(LEFT(B293,LEN(B$5))=B$5,LEFT(B293,LEN(C$5))=C$5,LEN(B293)&lt;2),"",IF(B293="no pick","","Wrong pick"))</f>
        <v/>
      </c>
      <c r="D293" s="95">
        <f t="shared" si="108"/>
        <v>1</v>
      </c>
      <c r="E293" s="95">
        <f t="shared" si="109"/>
        <v>0</v>
      </c>
      <c r="G293" s="95" t="str">
        <f>IF(B293=0,"",IF(B293="no pick","No Pick",IF(LEFT(B293,LEN(B$5))=B$5,B$5,C$5)))</f>
        <v>Laranja</v>
      </c>
      <c r="H293" s="95" t="str">
        <f t="shared" si="110"/>
        <v>2-0</v>
      </c>
      <c r="I293" s="95" t="str">
        <f>IF(AND(J293=$I$2,F$5=0,NOT(E$5="")),IF(OR(AND(Y293=AA293,Z293=AB293),AND(Y293=AB293,Z293=AA293)),"",IF(AND(Y293=Z293,AA293=AB293),Y293&amp;" +2 v. "&amp;AA293&amp;" +2, ",IF(Y293=AA293,Z293&amp;" v. "&amp;AB293&amp;", ",IF(Z293=AB293,Y293&amp;" v. "&amp;AA293&amp;", ",IF(Y293=AB293,Z293&amp;" v. "&amp;AA293&amp;", ",IF(Z293=AA293,Y293&amp;" v. "&amp;AB293&amp;", ",Y293&amp;" v. "&amp;AA293&amp;", "&amp;Z293&amp;" v. "&amp;AB293&amp;", ")))))),"")</f>
        <v/>
      </c>
      <c r="J293" s="97">
        <f>D$5</f>
        <v>1</v>
      </c>
      <c r="K293" s="95" t="str">
        <f t="shared" si="111"/>
        <v>SR</v>
      </c>
      <c r="L293" s="95" t="str">
        <f t="shared" si="112"/>
        <v>20</v>
      </c>
      <c r="M293" s="95" t="str">
        <f t="shared" si="113"/>
        <v>20</v>
      </c>
      <c r="N293" s="95" t="str">
        <f t="shared" si="114"/>
        <v>20</v>
      </c>
      <c r="O293" s="95" t="str">
        <f t="shared" si="115"/>
        <v>20</v>
      </c>
      <c r="P293" s="95" t="str">
        <f t="shared" si="116"/>
        <v>20</v>
      </c>
      <c r="Q293" s="95">
        <f>IF(AND(G293=T$5,LEN(G293)&gt;1),1,0)</f>
        <v>0</v>
      </c>
      <c r="R293" s="97">
        <f>Doubles!G$5</f>
        <v>4</v>
      </c>
      <c r="S293" s="95">
        <f>IF(AND(H293=H$5,LEN(H293)&gt;1,Q293=1),1,0)</f>
        <v>0</v>
      </c>
      <c r="U293" s="95" t="str">
        <f>AC238&amp;AC239&amp;AC240&amp;AC241&amp;AC242&amp;AC243&amp;AC244&amp;AC245&amp;AC246&amp;AC247&amp;AC248&amp;AC249&amp;AC250&amp;AC251&amp;AC252&amp;AC253&amp;AC254&amp;AC255&amp;AC256&amp;AC257&amp;AC258&amp;AC259&amp;AC260&amp;AC261</f>
        <v xml:space="preserve">Laranja, Duran, collinari, Fligia, blumenberg, </v>
      </c>
      <c r="V293" s="97">
        <f>VLOOKUP(4,R290:S313,2,0)</f>
        <v>0</v>
      </c>
      <c r="W293" s="95" t="str">
        <f t="shared" si="117"/>
        <v>Gaio</v>
      </c>
      <c r="X293" s="95">
        <f>IF(F$5=0,IF(AND(G267=G319,NOT(G241=G267),NOT(G293=G319),LEN(W241)&gt;0),2,IF(LEN(W241)=0,0,1)),0)</f>
        <v>1</v>
      </c>
      <c r="AC293" s="95" t="str">
        <f>IF(AND(LEN(W293)&gt;0,F$5=0),IF(X293=2,W293&amp;" +2, ",W293&amp;", "),"")</f>
        <v xml:space="preserve">Gaio, </v>
      </c>
    </row>
    <row r="294" spans="1:29">
      <c r="A294" s="95">
        <v>5</v>
      </c>
      <c r="B294" s="95" t="str">
        <f>IF(Doubles!K68="",0,Doubles!K68)</f>
        <v>PODLIPbIK-CASTILLO 20</v>
      </c>
      <c r="C294" s="99" t="str">
        <f>IF(OR(LEFT(B294,LEN(B$6))=B$6,LEFT(B294,LEN(C$6))=C$6,LEN(B294)&lt;2),"",IF(B294="no pick","","Wrong pick"))</f>
        <v/>
      </c>
      <c r="D294" s="95">
        <f t="shared" si="108"/>
        <v>0</v>
      </c>
      <c r="E294" s="95">
        <f t="shared" si="109"/>
        <v>0</v>
      </c>
      <c r="G294" s="95" t="str">
        <f>IF(B294=0,"",IF(B294="no pick","No Pick",IF(LEFT(B294,LEN(B$6))=B$6,B$6,C$6)))</f>
        <v>PODLIPBIK-CASTILLO</v>
      </c>
      <c r="H294" s="95" t="str">
        <f t="shared" si="110"/>
        <v>2-0</v>
      </c>
      <c r="I294" s="95" t="str">
        <f>IF(AND(J294=$I$2,F$6=0,NOT(E$6="")),IF(OR(AND(Y294=AA294,Z294=AB294),AND(Y294=AB294,Z294=AA294)),"",IF(AND(Y294=Z294,AA294=AB294),Y294&amp;" +2 v. "&amp;AA294&amp;" +2, ",IF(Y294=AA294,Z294&amp;" v. "&amp;AB294&amp;", ",IF(Z294=AB294,Y294&amp;" v. "&amp;AA294&amp;", ",IF(Y294=AB294,Z294&amp;" v. "&amp;AA294&amp;", ",IF(Z294=AA294,Y294&amp;" v. "&amp;AB294&amp;", ",Y294&amp;" v. "&amp;AA294&amp;", "&amp;Z294&amp;" v. "&amp;AB294&amp;", ")))))),"")</f>
        <v/>
      </c>
      <c r="J294" s="97">
        <f>D$6</f>
        <v>1</v>
      </c>
      <c r="K294" s="95" t="str">
        <f t="shared" si="111"/>
        <v>SR</v>
      </c>
      <c r="L294" s="95" t="str">
        <f t="shared" si="112"/>
        <v>20</v>
      </c>
      <c r="M294" s="95" t="str">
        <f t="shared" si="113"/>
        <v>20</v>
      </c>
      <c r="N294" s="95" t="str">
        <f t="shared" si="114"/>
        <v>20</v>
      </c>
      <c r="O294" s="95" t="str">
        <f t="shared" si="115"/>
        <v>20</v>
      </c>
      <c r="P294" s="95" t="str">
        <f t="shared" si="116"/>
        <v>20</v>
      </c>
      <c r="Q294" s="95">
        <f>IF(AND(G294=T$6,LEN(G294)&gt;1),1,0)</f>
        <v>0</v>
      </c>
      <c r="R294" s="97">
        <f>Doubles!G$6</f>
        <v>5</v>
      </c>
      <c r="S294" s="95">
        <f>IF(AND(H294=H$6,LEN(H294)&gt;1,Q294=1),1,0)</f>
        <v>0</v>
      </c>
      <c r="U294" s="95" t="str">
        <f>AC290&amp;AC291&amp;AC292&amp;AC293&amp;AC294&amp;AC295&amp;AC296&amp;AC297&amp;AC298&amp;AC299&amp;AC300&amp;AC301&amp;AC302&amp;AC303&amp;AC304&amp;AC305&amp;AC306&amp;AC307&amp;AC308&amp;AC309&amp;AC310&amp;AC311&amp;AC312&amp;AC313</f>
        <v xml:space="preserve">Gaio, Lindell, matos, santos, santos, </v>
      </c>
      <c r="V294" s="97">
        <f>VLOOKUP(5,R290:S313,2,0)</f>
        <v>0</v>
      </c>
      <c r="W294" s="95" t="str">
        <f t="shared" si="117"/>
        <v/>
      </c>
      <c r="X294" s="95">
        <f>IF(F$6=0,IF(AND(G268=G320,NOT(G242=G268),NOT(G294=G320),LEN(W242)&gt;0),2,IF(LEN(W242)=0,0,1)),0)</f>
        <v>0</v>
      </c>
      <c r="AC294" s="95" t="str">
        <f>IF(AND(LEN(W294)&gt;0,F$6=0),IF(X294=2,W294&amp;" +2, ",W294&amp;", "),"")</f>
        <v/>
      </c>
    </row>
    <row r="295" spans="1:29">
      <c r="A295" s="95">
        <v>6</v>
      </c>
      <c r="B295" s="95" t="str">
        <f>IF(Doubles!K69="",0,Doubles!K69)</f>
        <v>DURAN 21</v>
      </c>
      <c r="C295" s="99" t="str">
        <f>IF(OR(LEFT(B295,LEN(B$7))=B$7,LEFT(B295,LEN(C$7))=C$7,LEN(B295)&lt;2),"",IF(B295="no pick","","Wrong pick"))</f>
        <v/>
      </c>
      <c r="D295" s="95">
        <f t="shared" si="108"/>
        <v>1</v>
      </c>
      <c r="E295" s="95">
        <f t="shared" si="109"/>
        <v>0</v>
      </c>
      <c r="G295" s="95" t="str">
        <f>IF(B295=0,"",IF(B295="no pick","No Pick",IF(LEFT(B295,LEN(B$7))=B$7,B$7,C$7)))</f>
        <v>Duran</v>
      </c>
      <c r="H295" s="95" t="str">
        <f t="shared" si="110"/>
        <v>2-1</v>
      </c>
      <c r="I295" s="95" t="str">
        <f>IF(AND(J295=$I$2,F$7=0,NOT(E$7="")),IF(OR(AND(Y295=AA295,Z295=AB295),AND(Y295=AB295,Z295=AA295)),"",IF(AND(Y295=Z295,AA295=AB295),Y295&amp;" +2 v. "&amp;AA295&amp;" +2, ",IF(Y295=AA295,Z295&amp;" v. "&amp;AB295&amp;", ",IF(Z295=AB295,Y295&amp;" v. "&amp;AA295&amp;", ",IF(Y295=AB295,Z295&amp;" v. "&amp;AA295&amp;", ",IF(Z295=AA295,Y295&amp;" v. "&amp;AB295&amp;", ",Y295&amp;" v. "&amp;AA295&amp;", "&amp;Z295&amp;" v. "&amp;AB295&amp;", ")))))),"")</f>
        <v/>
      </c>
      <c r="J295" s="97">
        <f>D$7</f>
        <v>1</v>
      </c>
      <c r="K295" s="95" t="str">
        <f t="shared" si="111"/>
        <v>SR</v>
      </c>
      <c r="L295" s="95" t="str">
        <f t="shared" si="112"/>
        <v>21</v>
      </c>
      <c r="M295" s="95" t="str">
        <f t="shared" si="113"/>
        <v>21</v>
      </c>
      <c r="N295" s="95" t="str">
        <f t="shared" si="114"/>
        <v>21</v>
      </c>
      <c r="O295" s="95" t="str">
        <f t="shared" si="115"/>
        <v>21</v>
      </c>
      <c r="P295" s="95" t="str">
        <f t="shared" si="116"/>
        <v>21</v>
      </c>
      <c r="Q295" s="95">
        <f>IF(AND(G295=T$7,LEN(G295)&gt;1),1,0)</f>
        <v>0</v>
      </c>
      <c r="R295" s="97">
        <f>Doubles!G$7</f>
        <v>6</v>
      </c>
      <c r="S295" s="95">
        <f>IF(AND(H295=H$7,LEN(H295)&gt;1,Q295=1),1,0)</f>
        <v>0</v>
      </c>
      <c r="T295" s="105">
        <f>SUM(Q290:Q313)</f>
        <v>0</v>
      </c>
      <c r="U295" s="97">
        <f>SUM(S290:S313)</f>
        <v>0</v>
      </c>
      <c r="V295" s="97">
        <f>VLOOKUP(6,R290:S313,2,0)</f>
        <v>0</v>
      </c>
      <c r="W295" s="95" t="str">
        <f t="shared" si="117"/>
        <v>Lindell</v>
      </c>
      <c r="X295" s="95">
        <f>IF(F$7=0,IF(AND(G269=G321,NOT(G243=G269),NOT(G295=G321),LEN(W243)&gt;0),2,IF(LEN(W243)=0,0,1)),0)</f>
        <v>1</v>
      </c>
      <c r="AC295" s="95" t="str">
        <f>IF(AND(LEN(W295)&gt;0,F$7=0),IF(X295=2,W295&amp;" +2, ",W295&amp;", "),"")</f>
        <v xml:space="preserve">Lindell, </v>
      </c>
    </row>
    <row r="296" spans="1:29">
      <c r="A296" s="95">
        <v>7</v>
      </c>
      <c r="B296" s="95" t="str">
        <f>IF(Doubles!K70="",0,Doubles!K70)</f>
        <v>MICHON 21</v>
      </c>
      <c r="C296" s="99" t="str">
        <f>IF(OR(LEFT(B296,LEN(B$8))=B$8,LEFT(B296,LEN(C$8))=C$8,LEN(B296)&lt;2),"",IF(B296="no pick","","Wrong pick"))</f>
        <v/>
      </c>
      <c r="D296" s="95">
        <f t="shared" si="108"/>
        <v>0</v>
      </c>
      <c r="E296" s="95">
        <f t="shared" si="109"/>
        <v>0</v>
      </c>
      <c r="G296" s="95" t="str">
        <f>IF(B296=0,"",IF(B296="no pick","No Pick",IF(LEFT(B296,LEN(B$8))=B$8,B$8,C$8)))</f>
        <v>Michon</v>
      </c>
      <c r="H296" s="95" t="str">
        <f t="shared" si="110"/>
        <v>2-1</v>
      </c>
      <c r="I296" s="95" t="str">
        <f>IF(AND(J296=$I$2,F$8=0,NOT(E$8="")),IF(OR(AND(Y296=AA296,Z296=AB296),AND(Y296=AB296,Z296=AA296)),"",IF(AND(Y296=Z296,AA296=AB296),Y296&amp;" +2 v. "&amp;AA296&amp;" +2, ",IF(Y296=AA296,Z296&amp;" v. "&amp;AB296&amp;", ",IF(Z296=AB296,Y296&amp;" v. "&amp;AA296&amp;", ",IF(Y296=AB296,Z296&amp;" v. "&amp;AA296&amp;", ",IF(Z296=AA296,Y296&amp;" v. "&amp;AB296&amp;", ",Y296&amp;" v. "&amp;AA296&amp;", "&amp;Z296&amp;" v. "&amp;AB296&amp;", ")))))),"")</f>
        <v/>
      </c>
      <c r="J296" s="97">
        <f>D$8</f>
        <v>1</v>
      </c>
      <c r="K296" s="95" t="str">
        <f t="shared" si="111"/>
        <v>SR</v>
      </c>
      <c r="L296" s="95" t="str">
        <f t="shared" si="112"/>
        <v>21</v>
      </c>
      <c r="M296" s="95" t="str">
        <f t="shared" si="113"/>
        <v>21</v>
      </c>
      <c r="N296" s="95" t="str">
        <f t="shared" si="114"/>
        <v>21</v>
      </c>
      <c r="O296" s="95" t="str">
        <f t="shared" si="115"/>
        <v>21</v>
      </c>
      <c r="P296" s="95" t="str">
        <f t="shared" si="116"/>
        <v>21</v>
      </c>
      <c r="Q296" s="95">
        <f>IF(AND(G296=T$8,LEN(G296)&gt;1),1,0)</f>
        <v>0</v>
      </c>
      <c r="R296" s="97">
        <f>Doubles!G$8</f>
        <v>7</v>
      </c>
      <c r="S296" s="95">
        <f>IF(AND(H296=H$8,LEN(H296)&gt;1,Q296=1),1,0)</f>
        <v>0</v>
      </c>
      <c r="T296" s="105">
        <f>SUM(Q316:Q339)</f>
        <v>0</v>
      </c>
      <c r="U296" s="97">
        <f>SUM(S316:S339)</f>
        <v>0</v>
      </c>
      <c r="V296" s="97">
        <f>VLOOKUP(7,R290:S313,2,0)</f>
        <v>0</v>
      </c>
      <c r="W296" s="95" t="str">
        <f t="shared" si="117"/>
        <v/>
      </c>
      <c r="X296" s="95">
        <f>IF(F$8=0,IF(AND(G270=G322,NOT(G244=G270),NOT(G296=G322),LEN(W244)&gt;0),2,IF(LEN(W244)=0,0,1)),0)</f>
        <v>0</v>
      </c>
      <c r="AC296" s="95" t="str">
        <f>IF(AND(LEN(W296)&gt;0,F$8=0),IF(X296=2,W296&amp;" +2, ",W296&amp;", "),"")</f>
        <v/>
      </c>
    </row>
    <row r="297" spans="1:29">
      <c r="A297" s="95">
        <v>8</v>
      </c>
      <c r="B297" s="95" t="str">
        <f>IF(Doubles!K71="",0,Doubles!K71)</f>
        <v>GONZALEZ 21</v>
      </c>
      <c r="C297" s="99" t="str">
        <f>IF(OR(LEFT(B297,LEN(B$9))=B$9,LEFT(B297,LEN(C$9))=C$9,LEN(B297)&lt;2),"",IF(B297="no pick","","Wrong pick"))</f>
        <v/>
      </c>
      <c r="D297" s="95">
        <f t="shared" si="108"/>
        <v>0</v>
      </c>
      <c r="E297" s="95">
        <f t="shared" si="109"/>
        <v>0</v>
      </c>
      <c r="G297" s="95" t="str">
        <f>IF(B297=0,"",IF(B297="no pick","No Pick",IF(LEFT(B297,LEN(B$9))=B$9,B$9,C$9)))</f>
        <v>gonzalez</v>
      </c>
      <c r="H297" s="95" t="str">
        <f t="shared" si="110"/>
        <v>2-1</v>
      </c>
      <c r="I297" s="95" t="str">
        <f>IF(AND(J297=$I$2,F$9=0,NOT(E$9="")),IF(OR(AND(Y297=AA297,Z297=AB297),AND(Y297=AB297,Z297=AA297)),"",IF(AND(Y297=Z297,AA297=AB297),Y297&amp;" +2 v. "&amp;AA297&amp;" +2, ",IF(Y297=AA297,Z297&amp;" v. "&amp;AB297&amp;", ",IF(Z297=AB297,Y297&amp;" v. "&amp;AA297&amp;", ",IF(Y297=AB297,Z297&amp;" v. "&amp;AA297&amp;", ",IF(Z297=AA297,Y297&amp;" v. "&amp;AB297&amp;", ",Y297&amp;" v. "&amp;AA297&amp;", "&amp;Z297&amp;" v. "&amp;AB297&amp;", ")))))),"")</f>
        <v/>
      </c>
      <c r="J297" s="97">
        <f>D$9</f>
        <v>1</v>
      </c>
      <c r="K297" s="95" t="str">
        <f t="shared" si="111"/>
        <v>SR</v>
      </c>
      <c r="L297" s="95" t="str">
        <f t="shared" si="112"/>
        <v>21</v>
      </c>
      <c r="M297" s="95" t="str">
        <f t="shared" si="113"/>
        <v>21</v>
      </c>
      <c r="N297" s="95" t="str">
        <f t="shared" si="114"/>
        <v>21</v>
      </c>
      <c r="O297" s="95" t="str">
        <f t="shared" si="115"/>
        <v>21</v>
      </c>
      <c r="P297" s="95" t="str">
        <f t="shared" si="116"/>
        <v>21</v>
      </c>
      <c r="Q297" s="95">
        <f>IF(AND(G297=T$9,LEN(G297)&gt;1),1,0)</f>
        <v>0</v>
      </c>
      <c r="R297" s="97">
        <f>Doubles!G$9</f>
        <v>8</v>
      </c>
      <c r="S297" s="95">
        <f>IF(AND(H297=H$9,LEN(H297)&gt;1,Q297=1),1,0)</f>
        <v>0</v>
      </c>
      <c r="V297" s="97">
        <f>VLOOKUP(8,R290:S313,2,0)</f>
        <v>0</v>
      </c>
      <c r="W297" s="95" t="str">
        <f t="shared" si="117"/>
        <v/>
      </c>
      <c r="X297" s="95">
        <f>IF(F$9=0,IF(AND(G271=G323,NOT(G245=G271),NOT(G297=G323),LEN(W245)&gt;0),2,IF(LEN(W245)=0,0,1)),0)</f>
        <v>0</v>
      </c>
      <c r="AC297" s="95" t="str">
        <f>IF(AND(LEN(W297)&gt;0,F$9=0),IF(X297=2,W297&amp;" +2, ",W297&amp;", "),"")</f>
        <v/>
      </c>
    </row>
    <row r="298" spans="1:29">
      <c r="A298" s="95">
        <v>9</v>
      </c>
      <c r="B298" s="95" t="str">
        <f>IF(Doubles!K72="",0,Doubles!K72)</f>
        <v>PEREIRA 20</v>
      </c>
      <c r="C298" s="99" t="str">
        <f>IF(OR(LEFT(B298,LEN(B$10))=B$10,LEFT(B298,LEN(C$10))=C$10,LEN(B298)&lt;2),"",IF(B298="no pick","","Wrong pick"))</f>
        <v/>
      </c>
      <c r="D298" s="95">
        <f t="shared" si="108"/>
        <v>0</v>
      </c>
      <c r="E298" s="95">
        <f t="shared" si="109"/>
        <v>0</v>
      </c>
      <c r="G298" s="95" t="str">
        <f>IF(B298=0,"",IF(B298="no pick","No Pick",IF(LEFT(B298,LEN(B$10))=B$10,B$10,C$10)))</f>
        <v>pereira</v>
      </c>
      <c r="H298" s="95" t="str">
        <f t="shared" si="110"/>
        <v>2-0</v>
      </c>
      <c r="I298" s="95" t="str">
        <f>IF(AND(J298=$I$2,F$10=0,NOT(E$10="")),IF(OR(AND(Y298=AA298,Z298=AB298),AND(Y298=AB298,Z298=AA298)),"",IF(AND(Y298=Z298,AA298=AB298),Y298&amp;" +2 v. "&amp;AA298&amp;" +2, ",IF(Y298=AA298,Z298&amp;" v. "&amp;AB298&amp;", ",IF(Z298=AB298,Y298&amp;" v. "&amp;AA298&amp;", ",IF(Y298=AB298,Z298&amp;" v. "&amp;AA298&amp;", ",IF(Z298=AA298,Y298&amp;" v. "&amp;AB298&amp;", ",Y298&amp;" v. "&amp;AA298&amp;", "&amp;Z298&amp;" v. "&amp;AB298&amp;", ")))))),"")</f>
        <v/>
      </c>
      <c r="J298" s="97">
        <f>D$10</f>
        <v>1</v>
      </c>
      <c r="K298" s="95" t="str">
        <f t="shared" si="111"/>
        <v>SR</v>
      </c>
      <c r="L298" s="95" t="str">
        <f t="shared" si="112"/>
        <v>20</v>
      </c>
      <c r="M298" s="95" t="str">
        <f t="shared" si="113"/>
        <v>20</v>
      </c>
      <c r="N298" s="95" t="str">
        <f t="shared" si="114"/>
        <v>20</v>
      </c>
      <c r="O298" s="95" t="str">
        <f t="shared" si="115"/>
        <v>20</v>
      </c>
      <c r="P298" s="95" t="str">
        <f t="shared" si="116"/>
        <v>20</v>
      </c>
      <c r="Q298" s="95">
        <f>IF(AND(G298=T$10,LEN(G298)&gt;1),1,0)</f>
        <v>0</v>
      </c>
      <c r="R298" s="97">
        <f>Doubles!G$10</f>
        <v>9</v>
      </c>
      <c r="S298" s="95">
        <f>IF(AND(H298=H$10,LEN(H298)&gt;1,Q298=1),1,0)</f>
        <v>0</v>
      </c>
      <c r="T298" s="97" t="e">
        <f>VLOOKUP("Winner",T316:U332,2,0)</f>
        <v>#N/A</v>
      </c>
      <c r="U298" s="95" t="e">
        <f>VLOOKUP(T298,U316:W332,3,0)</f>
        <v>#N/A</v>
      </c>
      <c r="V298" s="97">
        <f>VLOOKUP(9,R290:S313,2,0)</f>
        <v>0</v>
      </c>
      <c r="W298" s="95" t="str">
        <f t="shared" si="117"/>
        <v/>
      </c>
      <c r="X298" s="95">
        <f>IF(F$10=0,IF(AND(G272=G324,NOT(G246=G272),NOT(G298=G324),LEN(W246)&gt;0),2,IF(LEN(W246)=0,0,1)),0)</f>
        <v>0</v>
      </c>
      <c r="AC298" s="95" t="str">
        <f>IF(AND(LEN(W298)&gt;0,F$10=0),IF(X298=2,W298&amp;" +2, ",W298&amp;", "),"")</f>
        <v/>
      </c>
    </row>
    <row r="299" spans="1:29">
      <c r="A299" s="95">
        <v>10</v>
      </c>
      <c r="B299" s="95" t="str">
        <f>IF(Doubles!K73="",0,Doubles!K73)</f>
        <v>COLLINARI 20</v>
      </c>
      <c r="C299" s="99" t="str">
        <f>IF(OR(LEFT(B299,LEN(B$11))=B$11,LEFT(B299,LEN(C$11))=C$11,LEN(B299)&lt;2),"",IF(B299="no pick","","Wrong pick"))</f>
        <v/>
      </c>
      <c r="D299" s="95">
        <f t="shared" si="108"/>
        <v>1</v>
      </c>
      <c r="E299" s="95">
        <f t="shared" si="109"/>
        <v>0</v>
      </c>
      <c r="G299" s="95" t="str">
        <f>IF(B299=0,"",IF(B299="no pick","No Pick",IF(LEFT(B299,LEN(B$11))=B$11,B$11,C$11)))</f>
        <v>collinari</v>
      </c>
      <c r="H299" s="95" t="str">
        <f t="shared" si="110"/>
        <v>2-0</v>
      </c>
      <c r="I299" s="95" t="str">
        <f>IF(AND(J299=$I$2,F$11=0,NOT(E$11="")),IF(OR(AND(Y299=AA299,Z299=AB299),AND(Y299=AB299,Z299=AA299)),"",IF(AND(Y299=Z299,AA299=AB299),Y299&amp;" +2 v. "&amp;AA299&amp;" +2, ",IF(Y299=AA299,Z299&amp;" v. "&amp;AB299&amp;", ",IF(Z299=AB299,Y299&amp;" v. "&amp;AA299&amp;", ",IF(Y299=AB299,Z299&amp;" v. "&amp;AA299&amp;", ",IF(Z299=AA299,Y299&amp;" v. "&amp;AB299&amp;", ",Y299&amp;" v. "&amp;AA299&amp;", "&amp;Z299&amp;" v. "&amp;AB299&amp;", ")))))),"")</f>
        <v/>
      </c>
      <c r="J299" s="97">
        <f>D$11</f>
        <v>1</v>
      </c>
      <c r="K299" s="95" t="str">
        <f t="shared" si="111"/>
        <v>SR</v>
      </c>
      <c r="L299" s="95" t="str">
        <f t="shared" si="112"/>
        <v>20</v>
      </c>
      <c r="M299" s="95" t="str">
        <f t="shared" si="113"/>
        <v>20</v>
      </c>
      <c r="N299" s="95" t="str">
        <f t="shared" si="114"/>
        <v>20</v>
      </c>
      <c r="O299" s="95" t="str">
        <f t="shared" si="115"/>
        <v>20</v>
      </c>
      <c r="P299" s="95" t="str">
        <f t="shared" si="116"/>
        <v>20</v>
      </c>
      <c r="Q299" s="95">
        <f>IF(AND(G299=T$11,LEN(G299)&gt;1),1,0)</f>
        <v>0</v>
      </c>
      <c r="R299" s="97">
        <f>Doubles!G$11</f>
        <v>10</v>
      </c>
      <c r="S299" s="95">
        <f>IF(AND(H299=H$11,LEN(H299)&gt;1,Q299=1),1,0)</f>
        <v>0</v>
      </c>
      <c r="V299" s="97">
        <f>VLOOKUP(10,R290:S313,2,0)</f>
        <v>0</v>
      </c>
      <c r="W299" s="95" t="str">
        <f t="shared" si="117"/>
        <v>matos</v>
      </c>
      <c r="X299" s="95">
        <f>IF(F$11=0,IF(AND(G273=G325,NOT(G247=G273),NOT(G299=G325),LEN(W247)&gt;0),2,IF(LEN(W247)=0,0,1)),0)</f>
        <v>1</v>
      </c>
      <c r="AC299" s="95" t="str">
        <f>IF(AND(LEN(W299)&gt;0,F$11=0),IF(X299=2,W299&amp;" +2, ",W299&amp;", "),"")</f>
        <v xml:space="preserve">matos, </v>
      </c>
    </row>
    <row r="300" spans="1:29">
      <c r="A300" s="95">
        <v>11</v>
      </c>
      <c r="B300" s="95" t="str">
        <f>IF(Doubles!K74="",0,Doubles!K74)</f>
        <v>GINER 20</v>
      </c>
      <c r="C300" s="99" t="str">
        <f>IF(OR(LEFT(B300,LEN(B$12))=B$12,LEFT(B300,LEN(C$12))=C$12,LEN(B300)&lt;2),"",IF(B300="no pick","","Wrong pick"))</f>
        <v/>
      </c>
      <c r="D300" s="95">
        <f t="shared" si="108"/>
        <v>0</v>
      </c>
      <c r="E300" s="95">
        <f t="shared" si="109"/>
        <v>0</v>
      </c>
      <c r="G300" s="95" t="str">
        <f>IF(B300=0,"",IF(B300="no pick","No Pick",IF(LEFT(B300,LEN(B$12))=B$12,B$12,C$12)))</f>
        <v>giner</v>
      </c>
      <c r="H300" s="95" t="str">
        <f t="shared" si="110"/>
        <v>2-0</v>
      </c>
      <c r="I300" s="95" t="str">
        <f>IF(AND(J300=$I$2,F$12=0,NOT(E$12="")),IF(OR(AND(Y300=AA300,Z300=AB300),AND(Y300=AB300,Z300=AA300)),"",IF(AND(Y300=Z300,AA300=AB300),Y300&amp;" +2 v. "&amp;AA300&amp;" +2, ",IF(Y300=AA300,Z300&amp;" v. "&amp;AB300&amp;", ",IF(Z300=AB300,Y300&amp;" v. "&amp;AA300&amp;", ",IF(Y300=AB300,Z300&amp;" v. "&amp;AA300&amp;", ",IF(Z300=AA300,Y300&amp;" v. "&amp;AB300&amp;", ",Y300&amp;" v. "&amp;AA300&amp;", "&amp;Z300&amp;" v. "&amp;AB300&amp;", ")))))),"")</f>
        <v/>
      </c>
      <c r="J300" s="97">
        <f>D$12</f>
        <v>1</v>
      </c>
      <c r="K300" s="95" t="str">
        <f t="shared" si="111"/>
        <v>SR</v>
      </c>
      <c r="L300" s="95" t="str">
        <f t="shared" si="112"/>
        <v>20</v>
      </c>
      <c r="M300" s="95" t="str">
        <f t="shared" si="113"/>
        <v>20</v>
      </c>
      <c r="N300" s="95" t="str">
        <f t="shared" si="114"/>
        <v>20</v>
      </c>
      <c r="O300" s="95" t="str">
        <f t="shared" si="115"/>
        <v>20</v>
      </c>
      <c r="P300" s="95" t="str">
        <f t="shared" si="116"/>
        <v>20</v>
      </c>
      <c r="Q300" s="95">
        <f>IF(AND(G300=T$12,LEN(G300)&gt;1),1,0)</f>
        <v>0</v>
      </c>
      <c r="R300" s="97">
        <f>Doubles!G$12</f>
        <v>11</v>
      </c>
      <c r="S300" s="95">
        <f>IF(AND(H300=H$12,LEN(H300)&gt;1,Q300=1),1,0)</f>
        <v>0</v>
      </c>
      <c r="V300" s="97">
        <f>VLOOKUP(11,R290:S313,2,0)</f>
        <v>0</v>
      </c>
      <c r="W300" s="95" t="str">
        <f t="shared" si="117"/>
        <v/>
      </c>
      <c r="X300" s="95">
        <f>IF(F$12=0,IF(AND(G274=G326,NOT(G248=G274),NOT(G300=G326),LEN(W248)&gt;0),2,IF(LEN(W248)=0,0,1)),0)</f>
        <v>0</v>
      </c>
      <c r="AC300" s="95" t="str">
        <f>IF(AND(LEN(W300)&gt;0,F$12=0),IF(X300=2,W300&amp;" +2, ",W300&amp;", "),"")</f>
        <v/>
      </c>
    </row>
    <row r="301" spans="1:29">
      <c r="A301" s="95">
        <v>12</v>
      </c>
      <c r="B301" s="95" t="str">
        <f>IF(Doubles!K75="",0,Doubles!K75)</f>
        <v>GALDON 21</v>
      </c>
      <c r="C301" s="99" t="str">
        <f>IF(OR(LEFT(B301,LEN(B$13))=B$13,LEFT(B301,LEN(C$13))=C$13,LEN(B301)&lt;2),"",IF(B301="no pick","","Wrong pick"))</f>
        <v/>
      </c>
      <c r="D301" s="95">
        <f t="shared" si="108"/>
        <v>0</v>
      </c>
      <c r="E301" s="95">
        <f t="shared" si="109"/>
        <v>0</v>
      </c>
      <c r="G301" s="95" t="str">
        <f>IF(B301=0,"",IF(B301="no pick","No Pick",IF(LEFT(B301,LEN(B$13))=B$13,B$13,C$13)))</f>
        <v>galdon</v>
      </c>
      <c r="H301" s="95" t="str">
        <f t="shared" si="110"/>
        <v>2-1</v>
      </c>
      <c r="I301" s="95" t="str">
        <f>IF(AND(J301=$I$2,F$13=0,NOT(E$13="")),IF(OR(AND(Y301=AA301,Z301=AB301),AND(Y301=AB301,Z301=AA301)),"",IF(AND(Y301=Z301,AA301=AB301),Y301&amp;" +2 v. "&amp;AA301&amp;" +2, ",IF(Y301=AA301,Z301&amp;" v. "&amp;AB301&amp;", ",IF(Z301=AB301,Y301&amp;" v. "&amp;AA301&amp;", ",IF(Y301=AB301,Z301&amp;" v. "&amp;AA301&amp;", ",IF(Z301=AA301,Y301&amp;" v. "&amp;AB301&amp;", ",Y301&amp;" v. "&amp;AA301&amp;", "&amp;Z301&amp;" v. "&amp;AB301&amp;", ")))))),"")</f>
        <v/>
      </c>
      <c r="J301" s="97">
        <f>D$13</f>
        <v>1</v>
      </c>
      <c r="K301" s="95" t="str">
        <f t="shared" si="111"/>
        <v>SR</v>
      </c>
      <c r="L301" s="95" t="str">
        <f t="shared" si="112"/>
        <v>21</v>
      </c>
      <c r="M301" s="95" t="str">
        <f t="shared" si="113"/>
        <v>21</v>
      </c>
      <c r="N301" s="95" t="str">
        <f t="shared" si="114"/>
        <v>21</v>
      </c>
      <c r="O301" s="95" t="str">
        <f t="shared" si="115"/>
        <v>21</v>
      </c>
      <c r="P301" s="95" t="str">
        <f t="shared" si="116"/>
        <v>21</v>
      </c>
      <c r="Q301" s="95">
        <f>IF(AND(G301=T$13,LEN(G301)&gt;1),1,0)</f>
        <v>0</v>
      </c>
      <c r="R301" s="97">
        <f>Doubles!G$13</f>
        <v>12</v>
      </c>
      <c r="S301" s="95">
        <f>IF(AND(H301=H$13,LEN(H301)&gt;1,Q301=1),1,0)</f>
        <v>0</v>
      </c>
      <c r="V301" s="97">
        <f>VLOOKUP(12,R290:S313,2,0)</f>
        <v>0</v>
      </c>
      <c r="W301" s="95" t="str">
        <f t="shared" si="117"/>
        <v/>
      </c>
      <c r="X301" s="95">
        <f>IF(F$13=0,IF(AND(G275=G327,NOT(G249=G275),NOT(G301=G327),LEN(W249)&gt;0),2,IF(LEN(W249)=0,0,1)),0)</f>
        <v>0</v>
      </c>
      <c r="AC301" s="95" t="str">
        <f>IF(AND(LEN(W301)&gt;0,F$13=0),IF(X301=2,W301&amp;" +2, ",W301&amp;", "),"")</f>
        <v/>
      </c>
    </row>
    <row r="302" spans="1:29">
      <c r="A302" s="95">
        <v>13</v>
      </c>
      <c r="B302" s="95" t="str">
        <f>IF(Doubles!K76="",0,Doubles!K76)</f>
        <v>LOBKOV 20</v>
      </c>
      <c r="C302" s="99" t="str">
        <f>IF(OR(LEFT(B302,LEN(B$14))=B$14,LEFT(B302,LEN(C$14))=C$14,LEN(B302)&lt;2),"",IF(B302="no pick","","Wrong pick"))</f>
        <v/>
      </c>
      <c r="D302" s="95">
        <f t="shared" si="108"/>
        <v>0</v>
      </c>
      <c r="E302" s="95">
        <f t="shared" si="109"/>
        <v>0</v>
      </c>
      <c r="G302" s="95" t="str">
        <f>IF(B302=0,"",IF(B302="no pick","No Pick",IF(LEFT(B302,LEN(B$14))=B$14,B$14,C$14)))</f>
        <v>lobkov</v>
      </c>
      <c r="H302" s="95" t="str">
        <f t="shared" si="110"/>
        <v>2-0</v>
      </c>
      <c r="I302" s="95" t="str">
        <f>IF(AND(J302=$I$2,F$14=0,NOT(E$14="")),IF(OR(AND(Y302=AA302,Z302=AB302),AND(Y302=AB302,Z302=AA302)),"",IF(AND(Y302=Z302,AA302=AB302),Y302&amp;" +2 v. "&amp;AA302&amp;" +2, ",IF(Y302=AA302,Z302&amp;" v. "&amp;AB302&amp;", ",IF(Z302=AB302,Y302&amp;" v. "&amp;AA302&amp;", ",IF(Y302=AB302,Z302&amp;" v. "&amp;AA302&amp;", ",IF(Z302=AA302,Y302&amp;" v. "&amp;AB302&amp;", ",Y302&amp;" v. "&amp;AA302&amp;", "&amp;Z302&amp;" v. "&amp;AB302&amp;", ")))))),"")</f>
        <v/>
      </c>
      <c r="J302" s="97">
        <f>D$14</f>
        <v>1</v>
      </c>
      <c r="K302" s="95" t="str">
        <f t="shared" si="111"/>
        <v>SR</v>
      </c>
      <c r="L302" s="95" t="str">
        <f t="shared" si="112"/>
        <v>20</v>
      </c>
      <c r="M302" s="95" t="str">
        <f t="shared" si="113"/>
        <v>20</v>
      </c>
      <c r="N302" s="95" t="str">
        <f t="shared" si="114"/>
        <v>20</v>
      </c>
      <c r="O302" s="95" t="str">
        <f t="shared" si="115"/>
        <v>20</v>
      </c>
      <c r="P302" s="95" t="str">
        <f t="shared" si="116"/>
        <v>20</v>
      </c>
      <c r="Q302" s="95">
        <f>IF(AND(G302=T$14,LEN(G302)&gt;1),1,0)</f>
        <v>0</v>
      </c>
      <c r="R302" s="97">
        <f>Doubles!G$14</f>
        <v>13</v>
      </c>
      <c r="S302" s="95">
        <f>IF(AND(H302=H$14,LEN(H302)&gt;1,Q302=1),1,0)</f>
        <v>0</v>
      </c>
      <c r="V302" s="97">
        <f>VLOOKUP(13,R290:S313,2,0)</f>
        <v>0</v>
      </c>
      <c r="W302" s="95" t="str">
        <f t="shared" si="117"/>
        <v/>
      </c>
      <c r="X302" s="95">
        <f>IF(F$14=0,IF(AND(G276=G328,NOT(G250=G276),NOT(G302=G328),LEN(W250)&gt;0),2,IF(LEN(W250)=0,0,1)),0)</f>
        <v>0</v>
      </c>
      <c r="AC302" s="95" t="str">
        <f>IF(AND(LEN(W302)&gt;0,F$14=0),IF(X302=2,W302&amp;" +2, ",W302&amp;", "),"")</f>
        <v/>
      </c>
    </row>
    <row r="303" spans="1:29">
      <c r="A303" s="95">
        <v>14</v>
      </c>
      <c r="B303" s="95" t="str">
        <f>IF(Doubles!K77="",0,Doubles!K77)</f>
        <v>FLIGIA 21</v>
      </c>
      <c r="C303" s="99" t="str">
        <f>IF(OR(LEFT(B303,LEN(B$15))=B$15,LEFT(B303,LEN(C$15))=C$15,LEN(B303)&lt;2),"",IF(B303="no pick","","Wrong pick"))</f>
        <v/>
      </c>
      <c r="D303" s="95">
        <f t="shared" si="108"/>
        <v>1</v>
      </c>
      <c r="E303" s="95">
        <f t="shared" si="109"/>
        <v>0</v>
      </c>
      <c r="G303" s="95" t="str">
        <f>IF(B303=0,"",IF(B303="no pick","No Pick",IF(LEFT(B303,LEN(B$15))=B$15,B$15,C$15)))</f>
        <v>Fligia</v>
      </c>
      <c r="H303" s="95" t="str">
        <f t="shared" si="110"/>
        <v>2-1</v>
      </c>
      <c r="I303" s="95" t="str">
        <f>IF(AND(J303=$I$2,F$15=0,NOT(E$15="")),IF(OR(AND(Y303=AA303,Z303=AB303),AND(Y303=AB303,Z303=AA303)),"",IF(AND(Y303=Z303,AA303=AB303),Y303&amp;" +2 v. "&amp;AA303&amp;" +2, ",IF(Y303=AA303,Z303&amp;" v. "&amp;AB303&amp;", ",IF(Z303=AB303,Y303&amp;" v. "&amp;AA303&amp;", ",IF(Y303=AB303,Z303&amp;" v. "&amp;AA303&amp;", ",IF(Z303=AA303,Y303&amp;" v. "&amp;AB303&amp;", ",Y303&amp;" v. "&amp;AA303&amp;", "&amp;Z303&amp;" v. "&amp;AB303&amp;", ")))))),"")</f>
        <v/>
      </c>
      <c r="J303" s="97">
        <f>D$15</f>
        <v>1</v>
      </c>
      <c r="K303" s="95" t="str">
        <f t="shared" si="111"/>
        <v>SR</v>
      </c>
      <c r="L303" s="95" t="str">
        <f t="shared" si="112"/>
        <v>21</v>
      </c>
      <c r="M303" s="95" t="str">
        <f t="shared" si="113"/>
        <v>21</v>
      </c>
      <c r="N303" s="95" t="str">
        <f t="shared" si="114"/>
        <v>21</v>
      </c>
      <c r="O303" s="95" t="str">
        <f t="shared" si="115"/>
        <v>21</v>
      </c>
      <c r="P303" s="95" t="str">
        <f t="shared" si="116"/>
        <v>21</v>
      </c>
      <c r="Q303" s="95">
        <f>IF(AND(G303=T$15,LEN(G303)&gt;1),1,0)</f>
        <v>0</v>
      </c>
      <c r="R303" s="97">
        <f>Doubles!G$15</f>
        <v>14</v>
      </c>
      <c r="S303" s="95">
        <f>IF(AND(H303=H$15,LEN(H303)&gt;1,Q303=1),1,0)</f>
        <v>0</v>
      </c>
      <c r="V303" s="97">
        <f>VLOOKUP(14,R290:S313,2,0)</f>
        <v>0</v>
      </c>
      <c r="W303" s="95" t="str">
        <f t="shared" si="117"/>
        <v>santos</v>
      </c>
      <c r="X303" s="95">
        <f>IF(F$15=0,IF(AND(G277=G329,NOT(G251=G277),NOT(G303=G329),LEN(W251)&gt;0),2,IF(LEN(W251)=0,0,1)),0)</f>
        <v>1</v>
      </c>
      <c r="AC303" s="95" t="str">
        <f>IF(AND(LEN(W303)&gt;0,F$15=0),IF(X303=2,W303&amp;" +2, ",W303&amp;", "),"")</f>
        <v xml:space="preserve">santos, </v>
      </c>
    </row>
    <row r="304" spans="1:29">
      <c r="A304" s="95">
        <v>15</v>
      </c>
      <c r="B304" s="95" t="str">
        <f>IF(Doubles!K78="",0,Doubles!K78)</f>
        <v>BLUMENBERG 21</v>
      </c>
      <c r="C304" s="99" t="str">
        <f>IF(OR(LEFT(B304,LEN(B$16))=B$16,LEFT(B304,LEN(C$16))=C$16,LEN(B304)&lt;2),"",IF(B304="no pick","","Wrong pick"))</f>
        <v/>
      </c>
      <c r="D304" s="95">
        <f t="shared" si="108"/>
        <v>1</v>
      </c>
      <c r="E304" s="95">
        <f t="shared" si="109"/>
        <v>0</v>
      </c>
      <c r="G304" s="95" t="str">
        <f>IF(B304=0,"",IF(B304="no pick","No Pick",IF(LEFT(B304,LEN(B$16))=B$16,B$16,C$16)))</f>
        <v>blumenberg</v>
      </c>
      <c r="H304" s="95" t="str">
        <f t="shared" si="110"/>
        <v>2-1</v>
      </c>
      <c r="I304" s="95" t="str">
        <f>IF(AND(J304=$I$2,F$16=0,NOT(E$16="")),IF(OR(AND(Y304=AA304,Z304=AB304),AND(Y304=AB304,Z304=AA304)),"",IF(AND(Y304=Z304,AA304=AB304),Y304&amp;" +2 v. "&amp;AA304&amp;" +2, ",IF(Y304=AA304,Z304&amp;" v. "&amp;AB304&amp;", ",IF(Z304=AB304,Y304&amp;" v. "&amp;AA304&amp;", ",IF(Y304=AB304,Z304&amp;" v. "&amp;AA304&amp;", ",IF(Z304=AA304,Y304&amp;" v. "&amp;AB304&amp;", ",Y304&amp;" v. "&amp;AA304&amp;", "&amp;Z304&amp;" v. "&amp;AB304&amp;", ")))))),"")</f>
        <v/>
      </c>
      <c r="J304" s="97">
        <f>D$16</f>
        <v>1</v>
      </c>
      <c r="K304" s="95" t="str">
        <f t="shared" si="111"/>
        <v>SR</v>
      </c>
      <c r="L304" s="95" t="str">
        <f t="shared" si="112"/>
        <v>21</v>
      </c>
      <c r="M304" s="95" t="str">
        <f t="shared" si="113"/>
        <v>21</v>
      </c>
      <c r="N304" s="95" t="str">
        <f t="shared" si="114"/>
        <v>21</v>
      </c>
      <c r="O304" s="95" t="str">
        <f t="shared" si="115"/>
        <v>21</v>
      </c>
      <c r="P304" s="95" t="str">
        <f t="shared" si="116"/>
        <v>21</v>
      </c>
      <c r="Q304" s="95">
        <f>IF(AND(G304=T$16,LEN(G304)&gt;1),1,0)</f>
        <v>0</v>
      </c>
      <c r="R304" s="97">
        <f>Doubles!G$16</f>
        <v>15</v>
      </c>
      <c r="S304" s="95">
        <f>IF(AND(H304=H$16,LEN(H304)&gt;1,Q304=1),1,0)</f>
        <v>0</v>
      </c>
      <c r="V304" s="97">
        <f>VLOOKUP(15,R290:S313,2,0)</f>
        <v>0</v>
      </c>
      <c r="W304" s="95" t="str">
        <f t="shared" si="117"/>
        <v>santos</v>
      </c>
      <c r="X304" s="95">
        <f>IF(F$16=0,IF(AND(G278=G330,NOT(G252=G278),NOT(G304=G330),LEN(W252)&gt;0),2,IF(LEN(W252)=0,0,1)),0)</f>
        <v>1</v>
      </c>
      <c r="AC304" s="95" t="str">
        <f>IF(AND(LEN(W304)&gt;0,F$16=0),IF(X304=2,W304&amp;" +2, ",W304&amp;", "),"")</f>
        <v xml:space="preserve">santos, </v>
      </c>
    </row>
    <row r="305" spans="1:29">
      <c r="A305" s="95">
        <v>16</v>
      </c>
      <c r="B305" s="95" t="str">
        <f>IF(Doubles!K79="",0,Doubles!K79)</f>
        <v>LOJDA 20</v>
      </c>
      <c r="C305" s="99" t="str">
        <f>IF(OR(LEFT(B305,LEN(B$17))=B$17,LEFT(B305,LEN(C$17))=C$17,LEN(B305)&lt;2),"",IF(B305="no pick","","Wrong pick"))</f>
        <v/>
      </c>
      <c r="D305" s="95">
        <f t="shared" si="108"/>
        <v>0</v>
      </c>
      <c r="E305" s="95">
        <f t="shared" si="109"/>
        <v>0</v>
      </c>
      <c r="G305" s="95" t="str">
        <f>IF(B305=0,"",IF(B305="no pick","No Pick",IF(LEFT(B305,LEN(B$17))=B$17,B$17,C$17)))</f>
        <v>lojda</v>
      </c>
      <c r="H305" s="95" t="str">
        <f t="shared" si="110"/>
        <v>2-0</v>
      </c>
      <c r="I305" s="95" t="str">
        <f>IF(AND(J305=$I$2,F$17=0,NOT(E$17="")),IF(OR(AND(Y305=AA305,Z305=AB305),AND(Y305=AB305,Z305=AA305)),"",IF(AND(Y305=Z305,AA305=AB305),Y305&amp;" +2 v. "&amp;AA305&amp;" +2, ",IF(Y305=AA305,Z305&amp;" v. "&amp;AB305&amp;", ",IF(Z305=AB305,Y305&amp;" v. "&amp;AA305&amp;", ",IF(Y305=AB305,Z305&amp;" v. "&amp;AA305&amp;", ",IF(Z305=AA305,Y305&amp;" v. "&amp;AB305&amp;", ",Y305&amp;" v. "&amp;AA305&amp;", "&amp;Z305&amp;" v. "&amp;AB305&amp;", ")))))),"")</f>
        <v/>
      </c>
      <c r="J305" s="97">
        <f>D$17</f>
        <v>1</v>
      </c>
      <c r="K305" s="95" t="str">
        <f t="shared" si="111"/>
        <v>SR</v>
      </c>
      <c r="L305" s="95" t="str">
        <f t="shared" si="112"/>
        <v>20</v>
      </c>
      <c r="M305" s="95" t="str">
        <f t="shared" si="113"/>
        <v>20</v>
      </c>
      <c r="N305" s="95" t="str">
        <f t="shared" si="114"/>
        <v>20</v>
      </c>
      <c r="O305" s="95" t="str">
        <f t="shared" si="115"/>
        <v>20</v>
      </c>
      <c r="P305" s="95" t="str">
        <f t="shared" si="116"/>
        <v>20</v>
      </c>
      <c r="Q305" s="95">
        <f>IF(AND(G305=T$17,LEN(G305)&gt;1),1,0)</f>
        <v>0</v>
      </c>
      <c r="R305" s="97">
        <f>Doubles!G$17</f>
        <v>16</v>
      </c>
      <c r="S305" s="95">
        <f>IF(AND(H305=H$17,LEN(H305)&gt;1,Q305=1),1,0)</f>
        <v>0</v>
      </c>
      <c r="V305" s="97">
        <f>VLOOKUP(16,R290:S313,2,0)</f>
        <v>0</v>
      </c>
      <c r="W305" s="95" t="str">
        <f t="shared" si="117"/>
        <v/>
      </c>
      <c r="X305" s="95">
        <f>IF(F$17=0,IF(AND(G279=G331,NOT(G253=G279),NOT(G305=G331),LEN(W253)&gt;0),2,IF(LEN(W253)=0,0,1)),0)</f>
        <v>0</v>
      </c>
      <c r="AC305" s="95" t="str">
        <f>IF(AND(LEN(W305)&gt;0,F$17=0),IF(X305=2,W305&amp;" +2, ",W305&amp;", "),"")</f>
        <v/>
      </c>
    </row>
    <row r="306" spans="1:29">
      <c r="A306" s="95">
        <v>17</v>
      </c>
      <c r="B306" s="95">
        <f>IF(Doubles!K80="",0,Doubles!K80)</f>
        <v>0</v>
      </c>
      <c r="C306" s="99" t="str">
        <f>IF(OR(LEFT(B306,LEN(B$18))=B$18,LEFT(B306,LEN(C$18))=C$18,LEN(B306)&lt;2),"",IF(B306="no pick","","Wrong pick"))</f>
        <v/>
      </c>
      <c r="D306" s="95">
        <f t="shared" si="108"/>
        <v>0</v>
      </c>
      <c r="E306" s="95">
        <f t="shared" si="109"/>
        <v>0</v>
      </c>
      <c r="G306" s="95" t="str">
        <f>IF(B306=0,"",IF(B306="no pick","No Pick",IF(LEFT(B306,LEN(B$18))=B$18,B$18,C$18)))</f>
        <v/>
      </c>
      <c r="H306" s="95" t="str">
        <f t="shared" si="110"/>
        <v>0-0</v>
      </c>
      <c r="I306" s="95" t="str">
        <f>IF(AND(J306=$I$2,F$18=0,NOT(E$18="")),IF(OR(AND(Y306=AA306,Z306=AB306),AND(Y306=AB306,Z306=AA306)),"",IF(AND(Y306=Z306,AA306=AB306),Y306&amp;" +2 v. "&amp;AA306&amp;" +2, ",IF(Y306=AA306,Z306&amp;" v. "&amp;AB306&amp;", ",IF(Z306=AB306,Y306&amp;" v. "&amp;AA306&amp;", ",IF(Y306=AB306,Z306&amp;" v. "&amp;AA306&amp;", ",IF(Z306=AA306,Y306&amp;" v. "&amp;AB306&amp;", ",Y306&amp;" v. "&amp;AA306&amp;", "&amp;Z306&amp;" v. "&amp;AB306&amp;", ")))))),"")</f>
        <v/>
      </c>
      <c r="J306" s="95">
        <f>D$18</f>
        <v>0</v>
      </c>
      <c r="K306" s="95" t="str">
        <f t="shared" si="111"/>
        <v>SR</v>
      </c>
      <c r="L306" s="95" t="str">
        <f t="shared" si="112"/>
        <v>0</v>
      </c>
      <c r="M306" s="95" t="str">
        <f t="shared" si="113"/>
        <v>0</v>
      </c>
      <c r="N306" s="95" t="str">
        <f t="shared" si="114"/>
        <v>0</v>
      </c>
      <c r="O306" s="95" t="str">
        <f t="shared" si="115"/>
        <v>0</v>
      </c>
      <c r="P306" s="95" t="str">
        <f t="shared" si="116"/>
        <v>0</v>
      </c>
      <c r="Q306" s="95">
        <f>IF(AND(G306=T$18,LEN(G306)&gt;1),1,0)</f>
        <v>0</v>
      </c>
      <c r="R306" s="97">
        <f>Doubles!G$18</f>
        <v>17</v>
      </c>
      <c r="S306" s="95">
        <f>IF(AND(H306=H$18,LEN(H306)&gt;1,Q306=1),1,0)</f>
        <v>0</v>
      </c>
      <c r="V306" s="95">
        <f>VLOOKUP(17,R290:S313,2,0)</f>
        <v>0</v>
      </c>
      <c r="W306" s="95" t="str">
        <f t="shared" si="117"/>
        <v/>
      </c>
      <c r="X306" s="95">
        <f>IF(F$18=0,IF(AND(G280=G332,NOT(G254=G280),NOT(G306=G332),LEN(W254)&gt;0),2,IF(LEN(W254)=0,0,1)),0)</f>
        <v>0</v>
      </c>
      <c r="AC306" s="95" t="str">
        <f>IF(AND(LEN(W306)&gt;0,F$18=0),IF(X306=2,W306&amp;" +2, ",W306&amp;", "),"")</f>
        <v/>
      </c>
    </row>
    <row r="307" spans="1:29">
      <c r="A307" s="95">
        <v>18</v>
      </c>
      <c r="B307" s="95">
        <f>IF(Doubles!K81="",0,Doubles!K81)</f>
        <v>0</v>
      </c>
      <c r="C307" s="99" t="str">
        <f>IF(OR(LEFT(B307,LEN(B$19))=B$19,LEFT(B307,LEN(C$19))=C$19,LEN(B307)&lt;2),"",IF(B307="no pick","","Wrong pick"))</f>
        <v/>
      </c>
      <c r="D307" s="95">
        <f t="shared" si="108"/>
        <v>0</v>
      </c>
      <c r="E307" s="95">
        <f t="shared" si="109"/>
        <v>0</v>
      </c>
      <c r="G307" s="95" t="str">
        <f>IF(B307=0,"",IF(B307="no pick","No Pick",IF(LEFT(B307,LEN(B$19))=B$19,B$19,C$19)))</f>
        <v/>
      </c>
      <c r="H307" s="95" t="str">
        <f t="shared" si="110"/>
        <v>0-0</v>
      </c>
      <c r="I307" s="95" t="str">
        <f>IF(AND(J307=$I$2,F$19=0,NOT(E$19="")),IF(OR(AND(Y307=AA307,Z307=AB307),AND(Y307=AB307,Z307=AA307)),"",IF(AND(Y307=Z307,AA307=AB307),Y307&amp;" +2 v. "&amp;AA307&amp;" +2, ",IF(Y307=AA307,Z307&amp;" v. "&amp;AB307&amp;", ",IF(Z307=AB307,Y307&amp;" v. "&amp;AA307&amp;", ",IF(Y307=AB307,Z307&amp;" v. "&amp;AA307&amp;", ",IF(Z307=AA307,Y307&amp;" v. "&amp;AB307&amp;", ",Y307&amp;" v. "&amp;AA307&amp;", "&amp;Z307&amp;" v. "&amp;AB307&amp;", ")))))),"")</f>
        <v/>
      </c>
      <c r="J307" s="95">
        <f>D$19</f>
        <v>0</v>
      </c>
      <c r="K307" s="95" t="str">
        <f t="shared" si="111"/>
        <v>SR</v>
      </c>
      <c r="L307" s="95" t="str">
        <f t="shared" si="112"/>
        <v>0</v>
      </c>
      <c r="M307" s="95" t="str">
        <f t="shared" si="113"/>
        <v>0</v>
      </c>
      <c r="N307" s="95" t="str">
        <f t="shared" si="114"/>
        <v>0</v>
      </c>
      <c r="O307" s="95" t="str">
        <f t="shared" si="115"/>
        <v>0</v>
      </c>
      <c r="P307" s="95" t="str">
        <f t="shared" si="116"/>
        <v>0</v>
      </c>
      <c r="Q307" s="95">
        <f>IF(AND(G307=T$19,LEN(G307)&gt;1),1,0)</f>
        <v>0</v>
      </c>
      <c r="R307" s="97">
        <f>Doubles!G$19</f>
        <v>18</v>
      </c>
      <c r="S307" s="95">
        <f>IF(AND(H307=H$19,LEN(H307)&gt;1,Q307=1),1,0)</f>
        <v>0</v>
      </c>
      <c r="V307" s="97">
        <f>VLOOKUP(18,R290:S313,2,0)</f>
        <v>0</v>
      </c>
      <c r="W307" s="95" t="str">
        <f t="shared" si="117"/>
        <v/>
      </c>
      <c r="X307" s="95">
        <f>IF(F$19=0,IF(AND(G281=G333,NOT(G255=G281),NOT(G307=G333),LEN(W255)&gt;0),2,IF(LEN(W255)=0,0,1)),0)</f>
        <v>0</v>
      </c>
      <c r="AC307" s="95" t="str">
        <f>IF(AND(LEN(W307)&gt;0,F$19=0),IF(X307=2,W307&amp;" +2, ",W307&amp;", "),"")</f>
        <v/>
      </c>
    </row>
    <row r="308" spans="1:29">
      <c r="A308" s="95">
        <v>19</v>
      </c>
      <c r="B308" s="95">
        <f>IF(Doubles!K82="",0,Doubles!K82)</f>
        <v>0</v>
      </c>
      <c r="C308" s="99" t="str">
        <f>IF(OR(LEFT(B308,LEN(B$20))=B$20,LEFT(B308,LEN(C$20))=C$20,LEN(B308)&lt;2),"",IF(B308="no pick","","Wrong pick"))</f>
        <v/>
      </c>
      <c r="D308" s="95">
        <f t="shared" si="108"/>
        <v>0</v>
      </c>
      <c r="E308" s="95">
        <f t="shared" si="109"/>
        <v>0</v>
      </c>
      <c r="G308" s="95" t="str">
        <f>IF(B308=0,"",IF(B308="no pick","No Pick",IF(LEFT(B308,LEN(B$20))=B$20,B$20,C$20)))</f>
        <v/>
      </c>
      <c r="H308" s="95" t="str">
        <f t="shared" si="110"/>
        <v>0-0</v>
      </c>
      <c r="I308" s="95" t="str">
        <f>IF(AND(J308=$I$2,F$20=0,NOT(E$20="")),IF(OR(AND(Y308=AA308,Z308=AB308),AND(Y308=AB308,Z308=AA308)),"",IF(AND(Y308=Z308,AA308=AB308),Y308&amp;" +2 v. "&amp;AA308&amp;" +2, ",IF(Y308=AA308,Z308&amp;" v. "&amp;AB308&amp;", ",IF(Z308=AB308,Y308&amp;" v. "&amp;AA308&amp;", ",IF(Y308=AB308,Z308&amp;" v. "&amp;AA308&amp;", ",IF(Z308=AA308,Y308&amp;" v. "&amp;AB308&amp;", ",Y308&amp;" v. "&amp;AA308&amp;", "&amp;Z308&amp;" v. "&amp;AB308&amp;", ")))))),"")</f>
        <v/>
      </c>
      <c r="J308" s="95">
        <f>D$20</f>
        <v>0</v>
      </c>
      <c r="K308" s="95" t="str">
        <f t="shared" si="111"/>
        <v>SR</v>
      </c>
      <c r="L308" s="95" t="str">
        <f t="shared" si="112"/>
        <v>0</v>
      </c>
      <c r="M308" s="95" t="str">
        <f t="shared" si="113"/>
        <v>0</v>
      </c>
      <c r="N308" s="95" t="str">
        <f t="shared" si="114"/>
        <v>0</v>
      </c>
      <c r="O308" s="95" t="str">
        <f t="shared" si="115"/>
        <v>0</v>
      </c>
      <c r="P308" s="95" t="str">
        <f t="shared" si="116"/>
        <v>0</v>
      </c>
      <c r="Q308" s="95">
        <f>IF(AND(G308=T$20,LEN(G308)&gt;1),1,0)</f>
        <v>0</v>
      </c>
      <c r="R308" s="97">
        <f>Doubles!G$20</f>
        <v>19</v>
      </c>
      <c r="S308" s="95">
        <f>IF(AND(H308=H$20,LEN(H308)&gt;1,Q308=1),1,0)</f>
        <v>0</v>
      </c>
      <c r="V308" s="97">
        <f>VLOOKUP(19,R290:S313,2,0)</f>
        <v>0</v>
      </c>
      <c r="W308" s="95" t="str">
        <f t="shared" si="117"/>
        <v/>
      </c>
      <c r="X308" s="95">
        <f>IF(F$20=0,IF(AND(G282=G334,NOT(G256=G282),NOT(G308=G334),LEN(W256)&gt;0),2,IF(LEN(W256)=0,0,1)),0)</f>
        <v>0</v>
      </c>
      <c r="AC308" s="95" t="str">
        <f>IF(AND(LEN(W308)&gt;0,F$20=0),IF(X308=2,W308&amp;" +2, ",W308&amp;", "),"")</f>
        <v/>
      </c>
    </row>
    <row r="309" spans="1:29">
      <c r="A309" s="95">
        <v>20</v>
      </c>
      <c r="B309" s="95">
        <f>IF(Doubles!K83="",0,Doubles!K83)</f>
        <v>0</v>
      </c>
      <c r="C309" s="99" t="str">
        <f>IF(OR(LEFT(B309,LEN(B$21))=B$21,LEFT(B309,LEN(C$21))=C$21,LEN(B309)&lt;2),"",IF(B309="no pick","","Wrong pick"))</f>
        <v/>
      </c>
      <c r="D309" s="95">
        <f t="shared" si="108"/>
        <v>0</v>
      </c>
      <c r="E309" s="95">
        <f t="shared" si="109"/>
        <v>0</v>
      </c>
      <c r="G309" s="95" t="str">
        <f>IF(B309=0,"",IF(B309="no pick","No Pick",IF(LEFT(B309,LEN(B$21))=B$21,B$21,C$21)))</f>
        <v/>
      </c>
      <c r="H309" s="95" t="str">
        <f t="shared" si="110"/>
        <v>0-0</v>
      </c>
      <c r="I309" s="95" t="str">
        <f>IF(AND(J309=$I$2,F$21=0,NOT(E$21="")),IF(OR(AND(Y309=AA309,Z309=AB309),AND(Y309=AB309,Z309=AA309)),"",IF(AND(Y309=Z309,AA309=AB309),Y309&amp;" +2 v. "&amp;AA309&amp;" +2, ",IF(Y309=AA309,Z309&amp;" v. "&amp;AB309&amp;", ",IF(Z309=AB309,Y309&amp;" v. "&amp;AA309&amp;", ",IF(Y309=AB309,Z309&amp;" v. "&amp;AA309&amp;", ",IF(Z309=AA309,Y309&amp;" v. "&amp;AB309&amp;", ",Y309&amp;" v. "&amp;AA309&amp;", "&amp;Z309&amp;" v. "&amp;AB309&amp;", ")))))),"")</f>
        <v/>
      </c>
      <c r="J309" s="95">
        <f>D$21</f>
        <v>0</v>
      </c>
      <c r="K309" s="95" t="str">
        <f t="shared" si="111"/>
        <v>SR</v>
      </c>
      <c r="L309" s="95" t="str">
        <f t="shared" si="112"/>
        <v>0</v>
      </c>
      <c r="M309" s="95" t="str">
        <f t="shared" si="113"/>
        <v>0</v>
      </c>
      <c r="N309" s="95" t="str">
        <f t="shared" si="114"/>
        <v>0</v>
      </c>
      <c r="O309" s="95" t="str">
        <f t="shared" si="115"/>
        <v>0</v>
      </c>
      <c r="P309" s="95" t="str">
        <f t="shared" si="116"/>
        <v>0</v>
      </c>
      <c r="Q309" s="95">
        <f>IF(AND(G309=T$21,LEN(G309)&gt;1),1,0)</f>
        <v>0</v>
      </c>
      <c r="R309" s="97">
        <f>Doubles!G$21</f>
        <v>20</v>
      </c>
      <c r="S309" s="95">
        <f>IF(AND(H309=H$21,LEN(H309)&gt;1,Q309=1),1,0)</f>
        <v>0</v>
      </c>
      <c r="V309" s="97">
        <f>VLOOKUP(20,R290:S313,2,0)</f>
        <v>0</v>
      </c>
      <c r="W309" s="95" t="str">
        <f t="shared" si="117"/>
        <v/>
      </c>
      <c r="X309" s="95">
        <f>IF(F$21=0,IF(AND(G283=G335,NOT(G257=G283),NOT(G309=G335),LEN(W257)&gt;0),2,IF(LEN(W257)=0,0,1)),0)</f>
        <v>0</v>
      </c>
      <c r="AC309" s="95" t="str">
        <f>IF(AND(LEN(W309)&gt;0,F$21=0),IF(X309=2,W309&amp;" +2, ",W309&amp;", "),"")</f>
        <v/>
      </c>
    </row>
    <row r="310" spans="1:29">
      <c r="A310" s="95">
        <v>21</v>
      </c>
      <c r="B310" s="95">
        <f>IF(Doubles!K84="",0,Doubles!K84)</f>
        <v>0</v>
      </c>
      <c r="C310" s="99" t="str">
        <f>IF(OR(LEFT(B310,LEN(B$22))=B$22,LEFT(B310,LEN(C$22))=C$22,LEN(B310)&lt;2),"",IF(B310="no pick","","Wrong pick"))</f>
        <v/>
      </c>
      <c r="D310" s="95">
        <f t="shared" si="108"/>
        <v>0</v>
      </c>
      <c r="E310" s="95">
        <f t="shared" si="109"/>
        <v>0</v>
      </c>
      <c r="G310" s="95" t="str">
        <f>IF(B310=0,"",IF(B310="no pick","No Pick",IF(LEFT(B310,LEN(B$22))=B$22,B$22,C$22)))</f>
        <v/>
      </c>
      <c r="H310" s="95" t="str">
        <f t="shared" si="110"/>
        <v>0-0</v>
      </c>
      <c r="I310" s="95" t="str">
        <f>IF(AND(J310=$I$2,F$22=0,NOT(E$22="")),IF(OR(AND(Y310=AA310,Z310=AB310),AND(Y310=AB310,Z310=AA310)),"",IF(AND(Y310=Z310,AA310=AB310),Y310&amp;" +2 v. "&amp;AA310&amp;" +2, ",IF(Y310=AA310,Z310&amp;" v. "&amp;AB310&amp;", ",IF(Z310=AB310,Y310&amp;" v. "&amp;AA310&amp;", ",IF(Y310=AB310,Z310&amp;" v. "&amp;AA310&amp;", ",IF(Z310=AA310,Y310&amp;" v. "&amp;AB310&amp;", ",Y310&amp;" v. "&amp;AA310&amp;", "&amp;Z310&amp;" v. "&amp;AB310&amp;", ")))))),"")</f>
        <v/>
      </c>
      <c r="J310" s="95">
        <f>D$22</f>
        <v>0</v>
      </c>
      <c r="K310" s="95" t="str">
        <f t="shared" si="111"/>
        <v>SR</v>
      </c>
      <c r="L310" s="95" t="str">
        <f t="shared" si="112"/>
        <v>0</v>
      </c>
      <c r="M310" s="95" t="str">
        <f t="shared" si="113"/>
        <v>0</v>
      </c>
      <c r="N310" s="95" t="str">
        <f t="shared" si="114"/>
        <v>0</v>
      </c>
      <c r="O310" s="95" t="str">
        <f t="shared" si="115"/>
        <v>0</v>
      </c>
      <c r="P310" s="95" t="str">
        <f t="shared" si="116"/>
        <v>0</v>
      </c>
      <c r="Q310" s="95">
        <f>IF(AND(G310=T$22,LEN(G310)&gt;1),1,0)</f>
        <v>0</v>
      </c>
      <c r="R310" s="97">
        <f>Doubles!G$22</f>
        <v>21</v>
      </c>
      <c r="S310" s="95">
        <f>IF(AND(H310=H$22,LEN(H310)&gt;1,Q310=1),1,0)</f>
        <v>0</v>
      </c>
      <c r="V310" s="97">
        <f>VLOOKUP(21,R290:S313,2,0)</f>
        <v>0</v>
      </c>
      <c r="W310" s="95" t="str">
        <f t="shared" si="117"/>
        <v/>
      </c>
      <c r="X310" s="95">
        <f>IF(F$22=0,IF(AND(G284=G336,NOT(G258=G284),NOT(G310=G336),LEN(W258)&gt;0),2,IF(LEN(W258)=0,0,1)),0)</f>
        <v>0</v>
      </c>
      <c r="AC310" s="95" t="str">
        <f>IF(AND(LEN(W310)&gt;0,F$22=0),IF(X310=2,W310&amp;" +2, ",W310&amp;", "),"")</f>
        <v/>
      </c>
    </row>
    <row r="311" spans="1:29">
      <c r="A311" s="95">
        <v>22</v>
      </c>
      <c r="B311" s="95">
        <f>IF(Doubles!K85="",0,Doubles!K85)</f>
        <v>0</v>
      </c>
      <c r="C311" s="99" t="str">
        <f>IF(OR(LEFT(B311,LEN(B$23))=B$23,LEFT(B311,LEN(C$23))=C$23,LEN(B311)&lt;2),"",IF(B311="no pick","","Wrong pick"))</f>
        <v/>
      </c>
      <c r="D311" s="95">
        <f t="shared" si="108"/>
        <v>0</v>
      </c>
      <c r="E311" s="95">
        <f t="shared" si="109"/>
        <v>0</v>
      </c>
      <c r="G311" s="95" t="str">
        <f>IF(B311=0,"",IF(B311="no pick","No Pick",IF(LEFT(B311,LEN(B$23))=B$23,B$23,C$23)))</f>
        <v/>
      </c>
      <c r="H311" s="95" t="str">
        <f t="shared" si="110"/>
        <v>0-0</v>
      </c>
      <c r="I311" s="95" t="str">
        <f>IF(AND(J311=$I$2,F$23=0,NOT(E$23="")),IF(OR(AND(Y311=AA311,Z311=AB311),AND(Y311=AB311,Z311=AA311)),"",IF(AND(Y311=Z311,AA311=AB311),Y311&amp;" +2 v. "&amp;AA311&amp;" +2, ",IF(Y311=AA311,Z311&amp;" v. "&amp;AB311&amp;", ",IF(Z311=AB311,Y311&amp;" v. "&amp;AA311&amp;", ",IF(Y311=AB311,Z311&amp;" v. "&amp;AA311&amp;", ",IF(Z311=AA311,Y311&amp;" v. "&amp;AB311&amp;", ",Y311&amp;" v. "&amp;AA311&amp;", "&amp;Z311&amp;" v. "&amp;AB311&amp;", ")))))),"")</f>
        <v/>
      </c>
      <c r="J311" s="95">
        <f>D$23</f>
        <v>0</v>
      </c>
      <c r="K311" s="95" t="str">
        <f t="shared" si="111"/>
        <v>SR</v>
      </c>
      <c r="L311" s="95" t="str">
        <f t="shared" si="112"/>
        <v>0</v>
      </c>
      <c r="M311" s="95" t="str">
        <f t="shared" si="113"/>
        <v>0</v>
      </c>
      <c r="N311" s="95" t="str">
        <f t="shared" si="114"/>
        <v>0</v>
      </c>
      <c r="O311" s="95" t="str">
        <f t="shared" si="115"/>
        <v>0</v>
      </c>
      <c r="P311" s="95" t="str">
        <f t="shared" si="116"/>
        <v>0</v>
      </c>
      <c r="Q311" s="95">
        <f>IF(AND(G311=T$23,LEN(G311)&gt;1),1,0)</f>
        <v>0</v>
      </c>
      <c r="R311" s="97">
        <f>Doubles!G$23</f>
        <v>22</v>
      </c>
      <c r="S311" s="95">
        <f>IF(AND(H311=H$23,LEN(H311)&gt;1,Q311=1),1,0)</f>
        <v>0</v>
      </c>
      <c r="V311" s="97">
        <f>VLOOKUP(22,R290:S313,2,0)</f>
        <v>0</v>
      </c>
      <c r="W311" s="95" t="str">
        <f t="shared" si="117"/>
        <v/>
      </c>
      <c r="X311" s="95">
        <f>IF(F$23=0,IF(AND(G285=G337,NOT(G259=G285),NOT(G311=G337),LEN(W259)&gt;0),2,IF(LEN(W259)=0,0,1)),0)</f>
        <v>0</v>
      </c>
      <c r="AC311" s="95" t="str">
        <f>IF(AND(LEN(W311)&gt;0,F$23=0),IF(X311=2,W311&amp;" +2, ",W311&amp;", "),"")</f>
        <v/>
      </c>
    </row>
    <row r="312" spans="1:29">
      <c r="A312" s="95">
        <v>23</v>
      </c>
      <c r="B312" s="95">
        <f>IF(Doubles!K86="",0,Doubles!K86)</f>
        <v>0</v>
      </c>
      <c r="C312" s="99" t="str">
        <f>IF(OR(LEFT(B312,LEN(B$24))=B$24,LEFT(B312,LEN(C$24))=C$24,LEN(B312)&lt;2),"",IF(B312="no pick","","Wrong pick"))</f>
        <v/>
      </c>
      <c r="D312" s="95">
        <f t="shared" si="108"/>
        <v>0</v>
      </c>
      <c r="E312" s="95">
        <f t="shared" si="109"/>
        <v>0</v>
      </c>
      <c r="G312" s="95" t="str">
        <f>IF(B312=0,"",IF(B312="no pick","No Pick",IF(LEFT(B312,LEN(B$24))=B$24,B$24,C$24)))</f>
        <v/>
      </c>
      <c r="H312" s="95" t="str">
        <f t="shared" si="110"/>
        <v>0-0</v>
      </c>
      <c r="I312" s="95" t="str">
        <f>IF(AND(J312=$I$2,F$24=0,NOT(E$24="")),IF(OR(AND(Y312=AA312,Z312=AB312),AND(Y312=AB312,Z312=AA312)),"",IF(AND(Y312=Z312,AA312=AB312),Y312&amp;" +2 v. "&amp;AA312&amp;" +2, ",IF(Y312=AA312,Z312&amp;" v. "&amp;AB312&amp;", ",IF(Z312=AB312,Y312&amp;" v. "&amp;AA312&amp;", ",IF(Y312=AB312,Z312&amp;" v. "&amp;AA312&amp;", ",IF(Z312=AA312,Y312&amp;" v. "&amp;AB312&amp;", ",Y312&amp;" v. "&amp;AA312&amp;", "&amp;Z312&amp;" v. "&amp;AB312&amp;", ")))))),"")</f>
        <v/>
      </c>
      <c r="J312" s="95">
        <f>D$24</f>
        <v>0</v>
      </c>
      <c r="K312" s="95" t="str">
        <f t="shared" si="111"/>
        <v>SR</v>
      </c>
      <c r="L312" s="95" t="str">
        <f t="shared" si="112"/>
        <v>0</v>
      </c>
      <c r="M312" s="95" t="str">
        <f t="shared" si="113"/>
        <v>0</v>
      </c>
      <c r="N312" s="95" t="str">
        <f t="shared" si="114"/>
        <v>0</v>
      </c>
      <c r="O312" s="95" t="str">
        <f t="shared" si="115"/>
        <v>0</v>
      </c>
      <c r="P312" s="95" t="str">
        <f t="shared" si="116"/>
        <v>0</v>
      </c>
      <c r="Q312" s="95">
        <f>IF(AND(G312=T$24,LEN(G312)&gt;1),1,0)</f>
        <v>0</v>
      </c>
      <c r="R312" s="97">
        <f>Doubles!G$24</f>
        <v>23</v>
      </c>
      <c r="S312" s="95">
        <f>IF(AND(H312=H$24,LEN(H312)&gt;1,Q312=1),1,0)</f>
        <v>0</v>
      </c>
      <c r="V312" s="97">
        <f>VLOOKUP(23,R290:S313,2,0)</f>
        <v>0</v>
      </c>
      <c r="W312" s="95" t="str">
        <f t="shared" si="117"/>
        <v/>
      </c>
      <c r="X312" s="95">
        <f>IF(F$24=0,IF(AND(G286=G338,NOT(G260=G286),NOT(G312=G338),LEN(W260)&gt;0),2,IF(LEN(W260)=0,0,1)),0)</f>
        <v>0</v>
      </c>
      <c r="AC312" s="95" t="str">
        <f>IF(AND(LEN(W312)&gt;0,F$24=0),IF(X312=2,W312&amp;" +2, ",W312&amp;", "),"")</f>
        <v/>
      </c>
    </row>
    <row r="313" spans="1:29">
      <c r="A313" s="95">
        <v>24</v>
      </c>
      <c r="B313" s="95">
        <f>IF(Doubles!K87="",0,Doubles!K87)</f>
        <v>0</v>
      </c>
      <c r="C313" s="99" t="str">
        <f>IF(OR(LEFT(B313,LEN(B$25))=B$25,LEFT(B313,LEN(C$25))=C$25,LEN(B313)&lt;2),"",IF(B313="no pick","","Wrong pick"))</f>
        <v/>
      </c>
      <c r="D313" s="95">
        <f t="shared" si="108"/>
        <v>0</v>
      </c>
      <c r="E313" s="95">
        <f t="shared" si="109"/>
        <v>0</v>
      </c>
      <c r="G313" s="95" t="str">
        <f>IF(B313=0,"",IF(B313="no pick","No Pick",IF(LEFT(B313,LEN(B$25))=B$25,B$25,C$25)))</f>
        <v/>
      </c>
      <c r="H313" s="95" t="str">
        <f t="shared" si="110"/>
        <v>0-0</v>
      </c>
      <c r="I313" s="95" t="str">
        <f>IF(AND(J313=$I$2,F$25=0,NOT(E$25="")),IF(OR(AND(Y313=AA313,Z313=AB313),AND(Y313=AB313,Z313=AA313)),"",IF(AND(Y313=Z313,AA313=AB313),Y313&amp;" +2 v. "&amp;AA313&amp;" +2, ",IF(Y313=AA313,Z313&amp;" v. "&amp;AB313&amp;", ",IF(Z313=AB313,Y313&amp;" v. "&amp;AA313&amp;", ",IF(Y313=AB313,Z313&amp;" v. "&amp;AA313&amp;", ",IF(Z313=AA313,Y313&amp;" v. "&amp;AB313&amp;", ",Y313&amp;" v. "&amp;AA313&amp;", "&amp;Z313&amp;" v. "&amp;AB313&amp;", ")))))),"")</f>
        <v/>
      </c>
      <c r="J313" s="95">
        <f>D$25</f>
        <v>0</v>
      </c>
      <c r="K313" s="95" t="str">
        <f t="shared" si="111"/>
        <v>SR</v>
      </c>
      <c r="L313" s="95" t="str">
        <f t="shared" si="112"/>
        <v>0</v>
      </c>
      <c r="M313" s="95" t="str">
        <f t="shared" si="113"/>
        <v>0</v>
      </c>
      <c r="N313" s="95" t="str">
        <f t="shared" si="114"/>
        <v>0</v>
      </c>
      <c r="O313" s="95" t="str">
        <f t="shared" si="115"/>
        <v>0</v>
      </c>
      <c r="P313" s="95" t="str">
        <f t="shared" si="116"/>
        <v>0</v>
      </c>
      <c r="Q313" s="95">
        <f>IF(AND(G313=T$25,LEN(G313)&gt;1),1,0)</f>
        <v>0</v>
      </c>
      <c r="R313" s="97">
        <f>Doubles!G$25</f>
        <v>24</v>
      </c>
      <c r="S313" s="95">
        <f>IF(AND(H313=H$25,LEN(H313)&gt;1,Q313=1),1,0)</f>
        <v>0</v>
      </c>
      <c r="V313" s="97">
        <f>VLOOKUP(24,R290:S313,2,0)</f>
        <v>0</v>
      </c>
      <c r="W313" s="95" t="str">
        <f t="shared" si="117"/>
        <v/>
      </c>
      <c r="X313" s="95">
        <f>IF(F$25=0,IF(AND(G287=G339,NOT(G261=G287),NOT(G313=G339),LEN(W261)&gt;0),2,IF(LEN(W261)=0,0,1)),0)</f>
        <v>0</v>
      </c>
      <c r="AC313" s="95" t="str">
        <f>IF(AND(LEN(W313)&gt;0,F$25=0),IF(X313=2,W313&amp;" +2, ",W313&amp;", "),"")</f>
        <v/>
      </c>
    </row>
    <row r="315" spans="1:29">
      <c r="A315" s="95" t="str">
        <f>IF(LEN(VLOOKUP(B315,Doubles!$B$2:$D$17,3,0))&gt;0,VLOOKUP(B315,Doubles!$B$2:$D$17,3,0),"")</f>
        <v/>
      </c>
      <c r="B315" s="96" t="str">
        <f>Doubles!M63</f>
        <v>AeronW</v>
      </c>
      <c r="C315" s="96">
        <v>4</v>
      </c>
      <c r="D315" s="95" t="str">
        <f>VLOOKUP(B315,Doubles!$B$2:$F$17,5,0)</f>
        <v>XXX</v>
      </c>
      <c r="J315" s="95" t="s">
        <v>88</v>
      </c>
      <c r="Q315" s="95" t="s">
        <v>121</v>
      </c>
      <c r="S315" s="95" t="s">
        <v>122</v>
      </c>
      <c r="T315" s="95" t="str">
        <f>B315</f>
        <v>AeronW</v>
      </c>
      <c r="V315" s="95" t="s">
        <v>122</v>
      </c>
    </row>
    <row r="316" spans="1:29">
      <c r="A316" s="95">
        <v>1</v>
      </c>
      <c r="B316" s="95" t="str">
        <f>IF(Doubles!M64="",0,Doubles!M64)</f>
        <v>Ghem</v>
      </c>
      <c r="C316" s="99" t="str">
        <f>IF(OR(LEFT(B316,LEN(B$2))=B$2,LEFT(B316,LEN(C$2))=C$2,LEN(B316)&lt;2),"",IF(B316="no pick","","Wrong pick"))</f>
        <v/>
      </c>
      <c r="E316" s="95">
        <f t="shared" ref="E316:E339" si="118">IF(AND($I$2=J316,B316=0),1,0)</f>
        <v>0</v>
      </c>
      <c r="F316" s="95" t="str">
        <f>IF(AND(SUM(E316:E339)=$I$4,NOT(B315="Bye")),"Missing picks from "&amp;B315&amp;" ","")</f>
        <v/>
      </c>
      <c r="G316" s="95" t="str">
        <f>IF(B316=0,"",IF(B316="no pick","No Pick",IF(LEFT(B316,LEN(B$2))=B$2,B$2,C$2)))</f>
        <v>Ghem</v>
      </c>
      <c r="H316" s="95" t="str">
        <f t="shared" ref="H316:H339" si="119">IF(L316="","",IF(K316="PTS",IF(LEN(O316)&lt;8,"2-0","2-1"),LEFT(O316,1)&amp;"-"&amp;RIGHT(O316,1)))</f>
        <v/>
      </c>
      <c r="J316" s="97">
        <f>D$2</f>
        <v>1</v>
      </c>
      <c r="K316" s="95" t="str">
        <f t="shared" ref="K316:K339" si="120">IF(LEN(L316)&gt;0,IF(LEN(O316)&lt;4,"SR","PTS"),"")</f>
        <v/>
      </c>
      <c r="L316" s="95" t="str">
        <f t="shared" ref="L316:L339" si="121">TRIM(RIGHT(B316,LEN(B316)-LEN(G316)))</f>
        <v/>
      </c>
      <c r="M316" s="95" t="str">
        <f t="shared" ref="M316:M339" si="122">SUBSTITUTE(L316,"-","")</f>
        <v/>
      </c>
      <c r="N316" s="95" t="str">
        <f t="shared" ref="N316:N339" si="123">SUBSTITUTE(M316,","," ")</f>
        <v/>
      </c>
      <c r="O316" s="95" t="str">
        <f t="shared" ref="O316:O339" si="124">IF(AND(LEN(TRIM(SUBSTITUTE(P316,"/","")))&gt;6,OR(LEFT(TRIM(SUBSTITUTE(P316,"/","")),2)="20",LEFT(TRIM(SUBSTITUTE(P316,"/","")),2)="21")),RIGHT(TRIM(SUBSTITUTE(P316,"/","")),LEN(TRIM(SUBSTITUTE(P316,"/","")))-3),TRIM(SUBSTITUTE(P316,"/","")))</f>
        <v/>
      </c>
      <c r="P316" s="95" t="str">
        <f t="shared" ref="P316:P339" si="125">SUBSTITUTE(N316,":","")</f>
        <v/>
      </c>
      <c r="Q316" s="95">
        <f>IF(AND(G316=T$2,LEN(G316)&gt;1),1,0)</f>
        <v>0</v>
      </c>
      <c r="R316" s="97">
        <f>Doubles!G$2</f>
        <v>1</v>
      </c>
      <c r="S316" s="95">
        <f>IF(AND(H316=H$2,LEN(H316)&gt;1,Q316=1),1,0)</f>
        <v>0</v>
      </c>
      <c r="V316" s="97">
        <f>VLOOKUP(1,R316:S339,2,0)</f>
        <v>0</v>
      </c>
      <c r="W316" s="95">
        <v>1</v>
      </c>
    </row>
    <row r="317" spans="1:29">
      <c r="A317" s="95">
        <v>2</v>
      </c>
      <c r="B317" s="95" t="str">
        <f>IF(Doubles!M65="",0,Doubles!M65)</f>
        <v>Machado </v>
      </c>
      <c r="C317" s="99" t="str">
        <f>IF(OR(LEFT(B317,LEN(B$3))=B$3,LEFT(B317,LEN(C$3))=C$3,LEN(B317)&lt;2),"",IF(B317="no pick","","Wrong pick"))</f>
        <v/>
      </c>
      <c r="E317" s="95">
        <f t="shared" si="118"/>
        <v>0</v>
      </c>
      <c r="G317" s="95" t="str">
        <f>IF(B317=0,"",IF(B317="no pick","No Pick",IF(LEFT(B317,LEN(B$3))=B$3,B$3,C$3)))</f>
        <v>Machado</v>
      </c>
      <c r="H317" s="95" t="str">
        <f t="shared" si="119"/>
        <v> - </v>
      </c>
      <c r="J317" s="97">
        <f>D$3</f>
        <v>1</v>
      </c>
      <c r="K317" s="95" t="str">
        <f t="shared" si="120"/>
        <v>SR</v>
      </c>
      <c r="L317" s="95" t="str">
        <f t="shared" si="121"/>
        <v> </v>
      </c>
      <c r="M317" s="95" t="str">
        <f t="shared" si="122"/>
        <v> </v>
      </c>
      <c r="N317" s="95" t="str">
        <f t="shared" si="123"/>
        <v> </v>
      </c>
      <c r="O317" s="95" t="str">
        <f t="shared" si="124"/>
        <v> </v>
      </c>
      <c r="P317" s="95" t="str">
        <f t="shared" si="125"/>
        <v> </v>
      </c>
      <c r="Q317" s="95">
        <f>IF(AND(G317=T$3,LEN(G317)&gt;1),1,0)</f>
        <v>0</v>
      </c>
      <c r="R317" s="97">
        <f>Doubles!G$3</f>
        <v>2</v>
      </c>
      <c r="S317" s="95">
        <f>IF(AND(H317=H$3,LEN(H317)&gt;1,Q317=1),1,0)</f>
        <v>0</v>
      </c>
      <c r="V317" s="97">
        <f>VLOOKUP(2,R316:S339,2,0)</f>
        <v>0</v>
      </c>
      <c r="W317" s="95">
        <v>2</v>
      </c>
    </row>
    <row r="318" spans="1:29">
      <c r="A318" s="95">
        <v>3</v>
      </c>
      <c r="B318" s="95" t="str">
        <f>IF(Doubles!M66="",0,Doubles!M66)</f>
        <v>junqueira</v>
      </c>
      <c r="C318" s="99" t="str">
        <f>IF(OR(LEFT(B318,LEN(B$4))=B$4,LEFT(B318,LEN(C$4))=C$4,LEN(B318)&lt;2),"",IF(B318="no pick","","Wrong pick"))</f>
        <v/>
      </c>
      <c r="E318" s="95">
        <f t="shared" si="118"/>
        <v>0</v>
      </c>
      <c r="G318" s="95" t="str">
        <f>IF(B318=0,"",IF(B318="no pick","No Pick",IF(LEFT(B318,LEN(B$4))=B$4,B$4,C$4)))</f>
        <v>Junqueira</v>
      </c>
      <c r="H318" s="95" t="str">
        <f t="shared" si="119"/>
        <v/>
      </c>
      <c r="J318" s="97">
        <f>D$4</f>
        <v>1</v>
      </c>
      <c r="K318" s="95" t="str">
        <f t="shared" si="120"/>
        <v/>
      </c>
      <c r="L318" s="95" t="str">
        <f t="shared" si="121"/>
        <v/>
      </c>
      <c r="M318" s="95" t="str">
        <f t="shared" si="122"/>
        <v/>
      </c>
      <c r="N318" s="95" t="str">
        <f t="shared" si="123"/>
        <v/>
      </c>
      <c r="O318" s="95" t="str">
        <f t="shared" si="124"/>
        <v/>
      </c>
      <c r="P318" s="95" t="str">
        <f t="shared" si="125"/>
        <v/>
      </c>
      <c r="Q318" s="95">
        <f>IF(AND(G318=T$4,LEN(G318)&gt;1),1,0)</f>
        <v>0</v>
      </c>
      <c r="R318" s="97">
        <f>Doubles!G$4</f>
        <v>3</v>
      </c>
      <c r="S318" s="95">
        <f>IF(AND(H318=H$4,LEN(H318)&gt;1,Q318=1),1,0)</f>
        <v>0</v>
      </c>
      <c r="V318" s="97">
        <f>VLOOKUP(3,R316:S339,2,0)</f>
        <v>0</v>
      </c>
      <c r="W318" s="95">
        <v>3</v>
      </c>
    </row>
    <row r="319" spans="1:29">
      <c r="A319" s="95">
        <v>4</v>
      </c>
      <c r="B319" s="95" t="str">
        <f>IF(Doubles!M67="",0,Doubles!M67)</f>
        <v>gaio</v>
      </c>
      <c r="C319" s="99" t="str">
        <f>IF(OR(LEFT(B319,LEN(B$5))=B$5,LEFT(B319,LEN(C$5))=C$5,LEN(B319)&lt;2),"",IF(B319="no pick","","Wrong pick"))</f>
        <v/>
      </c>
      <c r="E319" s="95">
        <f t="shared" si="118"/>
        <v>0</v>
      </c>
      <c r="G319" s="95" t="str">
        <f>IF(B319=0,"",IF(B319="no pick","No Pick",IF(LEFT(B319,LEN(B$5))=B$5,B$5,C$5)))</f>
        <v>Gaio</v>
      </c>
      <c r="H319" s="95" t="str">
        <f t="shared" si="119"/>
        <v/>
      </c>
      <c r="J319" s="97">
        <f>D$5</f>
        <v>1</v>
      </c>
      <c r="K319" s="95" t="str">
        <f t="shared" si="120"/>
        <v/>
      </c>
      <c r="L319" s="95" t="str">
        <f t="shared" si="121"/>
        <v/>
      </c>
      <c r="M319" s="95" t="str">
        <f t="shared" si="122"/>
        <v/>
      </c>
      <c r="N319" s="95" t="str">
        <f t="shared" si="123"/>
        <v/>
      </c>
      <c r="O319" s="95" t="str">
        <f t="shared" si="124"/>
        <v/>
      </c>
      <c r="P319" s="95" t="str">
        <f t="shared" si="125"/>
        <v/>
      </c>
      <c r="Q319" s="95">
        <f>IF(AND(G319=T$5,LEN(G319)&gt;1),1,0)</f>
        <v>0</v>
      </c>
      <c r="R319" s="97">
        <f>Doubles!G$5</f>
        <v>4</v>
      </c>
      <c r="S319" s="95">
        <f>IF(AND(H319=H$5,LEN(H319)&gt;1,Q319=1),1,0)</f>
        <v>0</v>
      </c>
      <c r="V319" s="97">
        <f>VLOOKUP(4,R316:S339,2,0)</f>
        <v>0</v>
      </c>
      <c r="W319" s="95">
        <v>4</v>
      </c>
    </row>
    <row r="320" spans="1:29">
      <c r="A320" s="95">
        <v>5</v>
      </c>
      <c r="B320" s="95" t="str">
        <f>IF(Doubles!M68="",0,Doubles!M68)</f>
        <v>PODLIPBIK-CASTILLO</v>
      </c>
      <c r="C320" s="99" t="str">
        <f>IF(OR(LEFT(B320,LEN(B$6))=B$6,LEFT(B320,LEN(C$6))=C$6,LEN(B320)&lt;2),"",IF(B320="no pick","","Wrong pick"))</f>
        <v/>
      </c>
      <c r="E320" s="95">
        <f t="shared" si="118"/>
        <v>0</v>
      </c>
      <c r="G320" s="95" t="str">
        <f>IF(B320=0,"",IF(B320="no pick","No Pick",IF(LEFT(B320,LEN(B$6))=B$6,B$6,C$6)))</f>
        <v>PODLIPBIK-CASTILLO</v>
      </c>
      <c r="H320" s="95" t="str">
        <f t="shared" si="119"/>
        <v/>
      </c>
      <c r="J320" s="97">
        <f>D$6</f>
        <v>1</v>
      </c>
      <c r="K320" s="95" t="str">
        <f t="shared" si="120"/>
        <v/>
      </c>
      <c r="L320" s="95" t="str">
        <f t="shared" si="121"/>
        <v/>
      </c>
      <c r="M320" s="95" t="str">
        <f t="shared" si="122"/>
        <v/>
      </c>
      <c r="N320" s="95" t="str">
        <f t="shared" si="123"/>
        <v/>
      </c>
      <c r="O320" s="95" t="str">
        <f t="shared" si="124"/>
        <v/>
      </c>
      <c r="P320" s="95" t="str">
        <f t="shared" si="125"/>
        <v/>
      </c>
      <c r="Q320" s="95">
        <f>IF(AND(G320=T$6,LEN(G320)&gt;1),1,0)</f>
        <v>0</v>
      </c>
      <c r="R320" s="97">
        <f>Doubles!G$6</f>
        <v>5</v>
      </c>
      <c r="S320" s="95">
        <f>IF(AND(H320=H$6,LEN(H320)&gt;1,Q320=1),1,0)</f>
        <v>0</v>
      </c>
      <c r="V320" s="97">
        <f>VLOOKUP(5,R316:S339,2,0)</f>
        <v>0</v>
      </c>
      <c r="W320" s="95">
        <v>5</v>
      </c>
    </row>
    <row r="321" spans="1:23">
      <c r="A321" s="95">
        <v>6</v>
      </c>
      <c r="B321" s="95" t="str">
        <f>IF(Doubles!M69="",0,Doubles!M69)</f>
        <v>lindell</v>
      </c>
      <c r="C321" s="99" t="str">
        <f>IF(OR(LEFT(B321,LEN(B$7))=B$7,LEFT(B321,LEN(C$7))=C$7,LEN(B321)&lt;2),"",IF(B321="no pick","","Wrong pick"))</f>
        <v/>
      </c>
      <c r="E321" s="95">
        <f t="shared" si="118"/>
        <v>0</v>
      </c>
      <c r="G321" s="95" t="str">
        <f>IF(B321=0,"",IF(B321="no pick","No Pick",IF(LEFT(B321,LEN(B$7))=B$7,B$7,C$7)))</f>
        <v>Lindell</v>
      </c>
      <c r="H321" s="95" t="str">
        <f t="shared" si="119"/>
        <v/>
      </c>
      <c r="J321" s="97">
        <f>D$7</f>
        <v>1</v>
      </c>
      <c r="K321" s="95" t="str">
        <f t="shared" si="120"/>
        <v/>
      </c>
      <c r="L321" s="95" t="str">
        <f t="shared" si="121"/>
        <v/>
      </c>
      <c r="M321" s="95" t="str">
        <f t="shared" si="122"/>
        <v/>
      </c>
      <c r="N321" s="95" t="str">
        <f t="shared" si="123"/>
        <v/>
      </c>
      <c r="O321" s="95" t="str">
        <f t="shared" si="124"/>
        <v/>
      </c>
      <c r="P321" s="95" t="str">
        <f t="shared" si="125"/>
        <v/>
      </c>
      <c r="Q321" s="95">
        <f>IF(AND(G321=T$7,LEN(G321)&gt;1),1,0)</f>
        <v>0</v>
      </c>
      <c r="R321" s="97">
        <f>Doubles!G$7</f>
        <v>6</v>
      </c>
      <c r="S321" s="95">
        <f>IF(AND(H321=H$7,LEN(H321)&gt;1,Q321=1),1,0)</f>
        <v>0</v>
      </c>
      <c r="V321" s="97">
        <f>VLOOKUP(6,R316:S339,2,0)</f>
        <v>0</v>
      </c>
      <c r="W321" s="95">
        <v>6</v>
      </c>
    </row>
    <row r="322" spans="1:23">
      <c r="A322" s="95">
        <v>7</v>
      </c>
      <c r="B322" s="95" t="str">
        <f>IF(Doubles!M70="",0,Doubles!M70)</f>
        <v>michon</v>
      </c>
      <c r="C322" s="99" t="str">
        <f>IF(OR(LEFT(B322,LEN(B$8))=B$8,LEFT(B322,LEN(C$8))=C$8,LEN(B322)&lt;2),"",IF(B322="no pick","","Wrong pick"))</f>
        <v/>
      </c>
      <c r="E322" s="95">
        <f t="shared" si="118"/>
        <v>0</v>
      </c>
      <c r="G322" s="95" t="str">
        <f>IF(B322=0,"",IF(B322="no pick","No Pick",IF(LEFT(B322,LEN(B$8))=B$8,B$8,C$8)))</f>
        <v>Michon</v>
      </c>
      <c r="H322" s="95" t="str">
        <f t="shared" si="119"/>
        <v/>
      </c>
      <c r="J322" s="97">
        <f>D$8</f>
        <v>1</v>
      </c>
      <c r="K322" s="95" t="str">
        <f t="shared" si="120"/>
        <v/>
      </c>
      <c r="L322" s="95" t="str">
        <f t="shared" si="121"/>
        <v/>
      </c>
      <c r="M322" s="95" t="str">
        <f t="shared" si="122"/>
        <v/>
      </c>
      <c r="N322" s="95" t="str">
        <f t="shared" si="123"/>
        <v/>
      </c>
      <c r="O322" s="95" t="str">
        <f t="shared" si="124"/>
        <v/>
      </c>
      <c r="P322" s="95" t="str">
        <f t="shared" si="125"/>
        <v/>
      </c>
      <c r="Q322" s="95">
        <f>IF(AND(G322=T$8,LEN(G322)&gt;1),1,0)</f>
        <v>0</v>
      </c>
      <c r="R322" s="97">
        <f>Doubles!G$8</f>
        <v>7</v>
      </c>
      <c r="S322" s="95">
        <f>IF(AND(H322=H$8,LEN(H322)&gt;1,Q322=1),1,0)</f>
        <v>0</v>
      </c>
      <c r="V322" s="97">
        <f>VLOOKUP(7,R316:S339,2,0)</f>
        <v>0</v>
      </c>
      <c r="W322" s="95">
        <v>7</v>
      </c>
    </row>
    <row r="323" spans="1:23">
      <c r="A323" s="95">
        <v>8</v>
      </c>
      <c r="B323" s="95" t="str">
        <f>IF(Doubles!M71="",0,Doubles!M71)</f>
        <v>gonzalez</v>
      </c>
      <c r="C323" s="99" t="str">
        <f>IF(OR(LEFT(B323,LEN(B$9))=B$9,LEFT(B323,LEN(C$9))=C$9,LEN(B323)&lt;2),"",IF(B323="no pick","","Wrong pick"))</f>
        <v/>
      </c>
      <c r="E323" s="95">
        <f t="shared" si="118"/>
        <v>0</v>
      </c>
      <c r="G323" s="95" t="str">
        <f>IF(B323=0,"",IF(B323="no pick","No Pick",IF(LEFT(B323,LEN(B$9))=B$9,B$9,C$9)))</f>
        <v>gonzalez</v>
      </c>
      <c r="H323" s="95" t="str">
        <f t="shared" si="119"/>
        <v/>
      </c>
      <c r="J323" s="97">
        <f>D$9</f>
        <v>1</v>
      </c>
      <c r="K323" s="95" t="str">
        <f t="shared" si="120"/>
        <v/>
      </c>
      <c r="L323" s="95" t="str">
        <f t="shared" si="121"/>
        <v/>
      </c>
      <c r="M323" s="95" t="str">
        <f t="shared" si="122"/>
        <v/>
      </c>
      <c r="N323" s="95" t="str">
        <f t="shared" si="123"/>
        <v/>
      </c>
      <c r="O323" s="95" t="str">
        <f t="shared" si="124"/>
        <v/>
      </c>
      <c r="P323" s="95" t="str">
        <f t="shared" si="125"/>
        <v/>
      </c>
      <c r="Q323" s="95">
        <f>IF(AND(G323=T$9,LEN(G323)&gt;1),1,0)</f>
        <v>0</v>
      </c>
      <c r="R323" s="97">
        <f>Doubles!G$9</f>
        <v>8</v>
      </c>
      <c r="S323" s="95">
        <f>IF(AND(H323=H$9,LEN(H323)&gt;1,Q323=1),1,0)</f>
        <v>0</v>
      </c>
      <c r="V323" s="97">
        <f>VLOOKUP(8,R316:S339,2,0)</f>
        <v>0</v>
      </c>
      <c r="W323" s="95">
        <v>8</v>
      </c>
    </row>
    <row r="324" spans="1:23">
      <c r="A324" s="95">
        <v>9</v>
      </c>
      <c r="B324" s="95" t="str">
        <f>IF(Doubles!M72="",0,Doubles!M72)</f>
        <v>pereira</v>
      </c>
      <c r="C324" s="99" t="str">
        <f>IF(OR(LEFT(B324,LEN(B$10))=B$10,LEFT(B324,LEN(C$10))=C$10,LEN(B324)&lt;2),"",IF(B324="no pick","","Wrong pick"))</f>
        <v/>
      </c>
      <c r="E324" s="95">
        <f t="shared" si="118"/>
        <v>0</v>
      </c>
      <c r="G324" s="95" t="str">
        <f>IF(B324=0,"",IF(B324="no pick","No Pick",IF(LEFT(B324,LEN(B$10))=B$10,B$10,C$10)))</f>
        <v>pereira</v>
      </c>
      <c r="H324" s="95" t="str">
        <f t="shared" si="119"/>
        <v/>
      </c>
      <c r="J324" s="97">
        <f>D$10</f>
        <v>1</v>
      </c>
      <c r="K324" s="95" t="str">
        <f t="shared" si="120"/>
        <v/>
      </c>
      <c r="L324" s="95" t="str">
        <f t="shared" si="121"/>
        <v/>
      </c>
      <c r="M324" s="95" t="str">
        <f t="shared" si="122"/>
        <v/>
      </c>
      <c r="N324" s="95" t="str">
        <f t="shared" si="123"/>
        <v/>
      </c>
      <c r="O324" s="95" t="str">
        <f t="shared" si="124"/>
        <v/>
      </c>
      <c r="P324" s="95" t="str">
        <f t="shared" si="125"/>
        <v/>
      </c>
      <c r="Q324" s="95">
        <f>IF(AND(G324=T$10,LEN(G324)&gt;1),1,0)</f>
        <v>0</v>
      </c>
      <c r="R324" s="97">
        <f>Doubles!G$10</f>
        <v>9</v>
      </c>
      <c r="S324" s="95">
        <f>IF(AND(H324=H$10,LEN(H324)&gt;1,Q324=1),1,0)</f>
        <v>0</v>
      </c>
      <c r="V324" s="97">
        <f>VLOOKUP(9,R316:S339,2,0)</f>
        <v>0</v>
      </c>
      <c r="W324" s="95">
        <v>9</v>
      </c>
    </row>
    <row r="325" spans="1:23">
      <c r="A325" s="95">
        <v>10</v>
      </c>
      <c r="B325" s="95" t="str">
        <f>IF(Doubles!M73="",0,Doubles!M73)</f>
        <v>matos</v>
      </c>
      <c r="C325" s="99" t="str">
        <f>IF(OR(LEFT(B325,LEN(B$11))=B$11,LEFT(B325,LEN(C$11))=C$11,LEN(B325)&lt;2),"",IF(B325="no pick","","Wrong pick"))</f>
        <v/>
      </c>
      <c r="E325" s="95">
        <f t="shared" si="118"/>
        <v>0</v>
      </c>
      <c r="G325" s="95" t="str">
        <f>IF(B325=0,"",IF(B325="no pick","No Pick",IF(LEFT(B325,LEN(B$11))=B$11,B$11,C$11)))</f>
        <v>matos</v>
      </c>
      <c r="H325" s="95" t="str">
        <f t="shared" si="119"/>
        <v/>
      </c>
      <c r="J325" s="97">
        <f>D$11</f>
        <v>1</v>
      </c>
      <c r="K325" s="95" t="str">
        <f t="shared" si="120"/>
        <v/>
      </c>
      <c r="L325" s="95" t="str">
        <f t="shared" si="121"/>
        <v/>
      </c>
      <c r="M325" s="95" t="str">
        <f t="shared" si="122"/>
        <v/>
      </c>
      <c r="N325" s="95" t="str">
        <f t="shared" si="123"/>
        <v/>
      </c>
      <c r="O325" s="95" t="str">
        <f t="shared" si="124"/>
        <v/>
      </c>
      <c r="P325" s="95" t="str">
        <f t="shared" si="125"/>
        <v/>
      </c>
      <c r="Q325" s="95">
        <f>IF(AND(G325=T$11,LEN(G325)&gt;1),1,0)</f>
        <v>0</v>
      </c>
      <c r="R325" s="97">
        <f>Doubles!G$11</f>
        <v>10</v>
      </c>
      <c r="S325" s="95">
        <f>IF(AND(H325=H$11,LEN(H325)&gt;1,Q325=1),1,0)</f>
        <v>0</v>
      </c>
      <c r="V325" s="97">
        <f>VLOOKUP(10,R316:S339,2,0)</f>
        <v>0</v>
      </c>
      <c r="W325" s="95">
        <v>10</v>
      </c>
    </row>
    <row r="326" spans="1:23">
      <c r="A326" s="95">
        <v>11</v>
      </c>
      <c r="B326" s="95" t="str">
        <f>IF(Doubles!M74="",0,Doubles!M74)</f>
        <v>giner</v>
      </c>
      <c r="C326" s="99" t="str">
        <f>IF(OR(LEFT(B326,LEN(B$12))=B$12,LEFT(B326,LEN(C$12))=C$12,LEN(B326)&lt;2),"",IF(B326="no pick","","Wrong pick"))</f>
        <v/>
      </c>
      <c r="E326" s="95">
        <f t="shared" si="118"/>
        <v>0</v>
      </c>
      <c r="G326" s="95" t="str">
        <f>IF(B326=0,"",IF(B326="no pick","No Pick",IF(LEFT(B326,LEN(B$12))=B$12,B$12,C$12)))</f>
        <v>giner</v>
      </c>
      <c r="H326" s="95" t="str">
        <f t="shared" si="119"/>
        <v/>
      </c>
      <c r="J326" s="97">
        <f>D$12</f>
        <v>1</v>
      </c>
      <c r="K326" s="95" t="str">
        <f t="shared" si="120"/>
        <v/>
      </c>
      <c r="L326" s="95" t="str">
        <f t="shared" si="121"/>
        <v/>
      </c>
      <c r="M326" s="95" t="str">
        <f t="shared" si="122"/>
        <v/>
      </c>
      <c r="N326" s="95" t="str">
        <f t="shared" si="123"/>
        <v/>
      </c>
      <c r="O326" s="95" t="str">
        <f t="shared" si="124"/>
        <v/>
      </c>
      <c r="P326" s="95" t="str">
        <f t="shared" si="125"/>
        <v/>
      </c>
      <c r="Q326" s="95">
        <f>IF(AND(G326=T$12,LEN(G326)&gt;1),1,0)</f>
        <v>0</v>
      </c>
      <c r="R326" s="97">
        <f>Doubles!G$12</f>
        <v>11</v>
      </c>
      <c r="S326" s="95">
        <f>IF(AND(H326=H$12,LEN(H326)&gt;1,Q326=1),1,0)</f>
        <v>0</v>
      </c>
      <c r="V326" s="97">
        <f>VLOOKUP(11,R316:S339,2,0)</f>
        <v>0</v>
      </c>
      <c r="W326" s="95">
        <v>11</v>
      </c>
    </row>
    <row r="327" spans="1:23">
      <c r="A327" s="95">
        <v>12</v>
      </c>
      <c r="B327" s="95" t="str">
        <f>IF(Doubles!M75="",0,Doubles!M75)</f>
        <v>galdon</v>
      </c>
      <c r="C327" s="99" t="str">
        <f>IF(OR(LEFT(B327,LEN(B$13))=B$13,LEFT(B327,LEN(C$13))=C$13,LEN(B327)&lt;2),"",IF(B327="no pick","","Wrong pick"))</f>
        <v/>
      </c>
      <c r="E327" s="95">
        <f t="shared" si="118"/>
        <v>0</v>
      </c>
      <c r="G327" s="95" t="str">
        <f>IF(B327=0,"",IF(B327="no pick","No Pick",IF(LEFT(B327,LEN(B$13))=B$13,B$13,C$13)))</f>
        <v>galdon</v>
      </c>
      <c r="H327" s="95" t="str">
        <f t="shared" si="119"/>
        <v/>
      </c>
      <c r="J327" s="97">
        <f>D$13</f>
        <v>1</v>
      </c>
      <c r="K327" s="95" t="str">
        <f t="shared" si="120"/>
        <v/>
      </c>
      <c r="L327" s="95" t="str">
        <f t="shared" si="121"/>
        <v/>
      </c>
      <c r="M327" s="95" t="str">
        <f t="shared" si="122"/>
        <v/>
      </c>
      <c r="N327" s="95" t="str">
        <f t="shared" si="123"/>
        <v/>
      </c>
      <c r="O327" s="95" t="str">
        <f t="shared" si="124"/>
        <v/>
      </c>
      <c r="P327" s="95" t="str">
        <f t="shared" si="125"/>
        <v/>
      </c>
      <c r="Q327" s="95">
        <f>IF(AND(G327=T$13,LEN(G327)&gt;1),1,0)</f>
        <v>0</v>
      </c>
      <c r="R327" s="97">
        <f>Doubles!G$13</f>
        <v>12</v>
      </c>
      <c r="S327" s="95">
        <f>IF(AND(H327=H$13,LEN(H327)&gt;1,Q327=1),1,0)</f>
        <v>0</v>
      </c>
      <c r="V327" s="97">
        <f>VLOOKUP(12,R316:S339,2,0)</f>
        <v>0</v>
      </c>
      <c r="W327" s="95">
        <v>12</v>
      </c>
    </row>
    <row r="328" spans="1:23">
      <c r="A328" s="95">
        <v>13</v>
      </c>
      <c r="B328" s="95" t="str">
        <f>IF(Doubles!M76="",0,Doubles!M76)</f>
        <v>lobkov</v>
      </c>
      <c r="C328" s="99" t="str">
        <f>IF(OR(LEFT(B328,LEN(B$14))=B$14,LEFT(B328,LEN(C$14))=C$14,LEN(B328)&lt;2),"",IF(B328="no pick","","Wrong pick"))</f>
        <v/>
      </c>
      <c r="E328" s="95">
        <f t="shared" si="118"/>
        <v>0</v>
      </c>
      <c r="G328" s="95" t="str">
        <f>IF(B328=0,"",IF(B328="no pick","No Pick",IF(LEFT(B328,LEN(B$14))=B$14,B$14,C$14)))</f>
        <v>lobkov</v>
      </c>
      <c r="H328" s="95" t="str">
        <f t="shared" si="119"/>
        <v/>
      </c>
      <c r="J328" s="97">
        <f>D$14</f>
        <v>1</v>
      </c>
      <c r="K328" s="95" t="str">
        <f t="shared" si="120"/>
        <v/>
      </c>
      <c r="L328" s="95" t="str">
        <f t="shared" si="121"/>
        <v/>
      </c>
      <c r="M328" s="95" t="str">
        <f t="shared" si="122"/>
        <v/>
      </c>
      <c r="N328" s="95" t="str">
        <f t="shared" si="123"/>
        <v/>
      </c>
      <c r="O328" s="95" t="str">
        <f t="shared" si="124"/>
        <v/>
      </c>
      <c r="P328" s="95" t="str">
        <f t="shared" si="125"/>
        <v/>
      </c>
      <c r="Q328" s="95">
        <f>IF(AND(G328=T$14,LEN(G328)&gt;1),1,0)</f>
        <v>0</v>
      </c>
      <c r="R328" s="97">
        <f>Doubles!G$14</f>
        <v>13</v>
      </c>
      <c r="S328" s="95">
        <f>IF(AND(H328=H$14,LEN(H328)&gt;1,Q328=1),1,0)</f>
        <v>0</v>
      </c>
      <c r="V328" s="97">
        <f>VLOOKUP(13,R316:S339,2,0)</f>
        <v>0</v>
      </c>
      <c r="W328" s="95">
        <v>13</v>
      </c>
    </row>
    <row r="329" spans="1:23">
      <c r="A329" s="95">
        <v>14</v>
      </c>
      <c r="B329" s="95" t="str">
        <f>IF(Doubles!M77="",0,Doubles!M77)</f>
        <v>santos</v>
      </c>
      <c r="C329" s="99" t="str">
        <f>IF(OR(LEFT(B329,LEN(B$15))=B$15,LEFT(B329,LEN(C$15))=C$15,LEN(B329)&lt;2),"",IF(B329="no pick","","Wrong pick"))</f>
        <v/>
      </c>
      <c r="E329" s="95">
        <f t="shared" si="118"/>
        <v>0</v>
      </c>
      <c r="G329" s="95" t="str">
        <f>IF(B329=0,"",IF(B329="no pick","No Pick",IF(LEFT(B329,LEN(B$15))=B$15,B$15,C$15)))</f>
        <v>santos</v>
      </c>
      <c r="H329" s="95" t="str">
        <f t="shared" si="119"/>
        <v/>
      </c>
      <c r="J329" s="97">
        <f>D$15</f>
        <v>1</v>
      </c>
      <c r="K329" s="95" t="str">
        <f t="shared" si="120"/>
        <v/>
      </c>
      <c r="L329" s="95" t="str">
        <f t="shared" si="121"/>
        <v/>
      </c>
      <c r="M329" s="95" t="str">
        <f t="shared" si="122"/>
        <v/>
      </c>
      <c r="N329" s="95" t="str">
        <f t="shared" si="123"/>
        <v/>
      </c>
      <c r="O329" s="95" t="str">
        <f t="shared" si="124"/>
        <v/>
      </c>
      <c r="P329" s="95" t="str">
        <f t="shared" si="125"/>
        <v/>
      </c>
      <c r="Q329" s="95">
        <f>IF(AND(G329=T$15,LEN(G329)&gt;1),1,0)</f>
        <v>0</v>
      </c>
      <c r="R329" s="97">
        <f>Doubles!G$15</f>
        <v>14</v>
      </c>
      <c r="S329" s="95">
        <f>IF(AND(H329=H$15,LEN(H329)&gt;1,Q329=1),1,0)</f>
        <v>0</v>
      </c>
      <c r="V329" s="97">
        <f>VLOOKUP(14,R316:S339,2,0)</f>
        <v>0</v>
      </c>
      <c r="W329" s="95">
        <v>14</v>
      </c>
    </row>
    <row r="330" spans="1:23">
      <c r="A330" s="95">
        <v>15</v>
      </c>
      <c r="B330" s="95" t="str">
        <f>IF(Doubles!M78="",0,Doubles!M78)</f>
        <v>santos</v>
      </c>
      <c r="C330" s="99" t="str">
        <f>IF(OR(LEFT(B330,LEN(B$16))=B$16,LEFT(B330,LEN(C$16))=C$16,LEN(B330)&lt;2),"",IF(B330="no pick","","Wrong pick"))</f>
        <v/>
      </c>
      <c r="E330" s="95">
        <f t="shared" si="118"/>
        <v>0</v>
      </c>
      <c r="G330" s="95" t="str">
        <f>IF(B330=0,"",IF(B330="no pick","No Pick",IF(LEFT(B330,LEN(B$16))=B$16,B$16,C$16)))</f>
        <v>santos</v>
      </c>
      <c r="H330" s="95" t="str">
        <f t="shared" si="119"/>
        <v/>
      </c>
      <c r="J330" s="97">
        <f>D$16</f>
        <v>1</v>
      </c>
      <c r="K330" s="95" t="str">
        <f t="shared" si="120"/>
        <v/>
      </c>
      <c r="L330" s="95" t="str">
        <f t="shared" si="121"/>
        <v/>
      </c>
      <c r="M330" s="95" t="str">
        <f t="shared" si="122"/>
        <v/>
      </c>
      <c r="N330" s="95" t="str">
        <f t="shared" si="123"/>
        <v/>
      </c>
      <c r="O330" s="95" t="str">
        <f t="shared" si="124"/>
        <v/>
      </c>
      <c r="P330" s="95" t="str">
        <f t="shared" si="125"/>
        <v/>
      </c>
      <c r="Q330" s="95">
        <f>IF(AND(G330=T$16,LEN(G330)&gt;1),1,0)</f>
        <v>0</v>
      </c>
      <c r="R330" s="97">
        <f>Doubles!G$16</f>
        <v>15</v>
      </c>
      <c r="S330" s="95">
        <f>IF(AND(H330=H$16,LEN(H330)&gt;1,Q330=1),1,0)</f>
        <v>0</v>
      </c>
      <c r="V330" s="97">
        <f>VLOOKUP(15,R316:S339,2,0)</f>
        <v>0</v>
      </c>
      <c r="W330" s="95">
        <v>15</v>
      </c>
    </row>
    <row r="331" spans="1:23">
      <c r="A331" s="95">
        <v>16</v>
      </c>
      <c r="B331" s="95" t="str">
        <f>IF(Doubles!M79="",0,Doubles!M79)</f>
        <v>lojda</v>
      </c>
      <c r="C331" s="99" t="str">
        <f>IF(OR(LEFT(B331,LEN(B$17))=B$17,LEFT(B331,LEN(C$17))=C$17,LEN(B331)&lt;2),"",IF(B331="no pick","","Wrong pick"))</f>
        <v/>
      </c>
      <c r="E331" s="95">
        <f t="shared" si="118"/>
        <v>0</v>
      </c>
      <c r="G331" s="95" t="str">
        <f>IF(B331=0,"",IF(B331="no pick","No Pick",IF(LEFT(B331,LEN(B$17))=B$17,B$17,C$17)))</f>
        <v>lojda</v>
      </c>
      <c r="H331" s="95" t="str">
        <f t="shared" si="119"/>
        <v/>
      </c>
      <c r="J331" s="97">
        <f>D$17</f>
        <v>1</v>
      </c>
      <c r="K331" s="95" t="str">
        <f t="shared" si="120"/>
        <v/>
      </c>
      <c r="L331" s="95" t="str">
        <f t="shared" si="121"/>
        <v/>
      </c>
      <c r="M331" s="95" t="str">
        <f t="shared" si="122"/>
        <v/>
      </c>
      <c r="N331" s="95" t="str">
        <f t="shared" si="123"/>
        <v/>
      </c>
      <c r="O331" s="95" t="str">
        <f t="shared" si="124"/>
        <v/>
      </c>
      <c r="P331" s="95" t="str">
        <f t="shared" si="125"/>
        <v/>
      </c>
      <c r="Q331" s="95">
        <f>IF(AND(G331=T$17,LEN(G331)&gt;1),1,0)</f>
        <v>0</v>
      </c>
      <c r="R331" s="97">
        <f>Doubles!G$17</f>
        <v>16</v>
      </c>
      <c r="S331" s="95">
        <f>IF(AND(H331=H$17,LEN(H331)&gt;1,Q331=1),1,0)</f>
        <v>0</v>
      </c>
      <c r="V331" s="97">
        <f>VLOOKUP(16,R316:S339,2,0)</f>
        <v>0</v>
      </c>
      <c r="W331" s="95">
        <v>16</v>
      </c>
    </row>
    <row r="332" spans="1:23">
      <c r="A332" s="95">
        <v>17</v>
      </c>
      <c r="B332" s="95">
        <f>IF(Doubles!M80="",0,Doubles!M80)</f>
        <v>0</v>
      </c>
      <c r="C332" s="99" t="str">
        <f>IF(OR(LEFT(B332,LEN(B$18))=B$18,LEFT(B332,LEN(C$18))=C$18,LEN(B332)&lt;2),"",IF(B332="no pick","","Wrong pick"))</f>
        <v/>
      </c>
      <c r="E332" s="95">
        <f t="shared" si="118"/>
        <v>0</v>
      </c>
      <c r="G332" s="95" t="str">
        <f>IF(B332=0,"",IF(B332="no pick","No Pick",IF(LEFT(B332,LEN(B$18))=B$18,B$18,C$18)))</f>
        <v/>
      </c>
      <c r="H332" s="95" t="str">
        <f t="shared" si="119"/>
        <v>0-0</v>
      </c>
      <c r="J332" s="95">
        <f>D$18</f>
        <v>0</v>
      </c>
      <c r="K332" s="95" t="str">
        <f t="shared" si="120"/>
        <v>SR</v>
      </c>
      <c r="L332" s="95" t="str">
        <f t="shared" si="121"/>
        <v>0</v>
      </c>
      <c r="M332" s="95" t="str">
        <f t="shared" si="122"/>
        <v>0</v>
      </c>
      <c r="N332" s="95" t="str">
        <f t="shared" si="123"/>
        <v>0</v>
      </c>
      <c r="O332" s="95" t="str">
        <f t="shared" si="124"/>
        <v>0</v>
      </c>
      <c r="P332" s="95" t="str">
        <f t="shared" si="125"/>
        <v>0</v>
      </c>
      <c r="Q332" s="95">
        <f>IF(AND(G332=T$18,LEN(G332)&gt;1),1,0)</f>
        <v>0</v>
      </c>
      <c r="R332" s="97">
        <f>Doubles!G$18</f>
        <v>17</v>
      </c>
      <c r="S332" s="95">
        <f>IF(AND(H332=H$18,LEN(H332)&gt;1,Q332=1),1,0)</f>
        <v>0</v>
      </c>
      <c r="V332" s="97">
        <f>VLOOKUP(17,R316:S339,2,0)</f>
        <v>0</v>
      </c>
      <c r="W332" s="95">
        <v>17</v>
      </c>
    </row>
    <row r="333" spans="1:23">
      <c r="A333" s="95">
        <v>18</v>
      </c>
      <c r="B333" s="95">
        <f>IF(Doubles!M81="",0,Doubles!M81)</f>
        <v>0</v>
      </c>
      <c r="C333" s="99" t="str">
        <f>IF(OR(LEFT(B333,LEN(B$19))=B$19,LEFT(B333,LEN(C$19))=C$19,LEN(B333)&lt;2),"",IF(B333="no pick","","Wrong pick"))</f>
        <v/>
      </c>
      <c r="E333" s="95">
        <f t="shared" si="118"/>
        <v>0</v>
      </c>
      <c r="G333" s="95" t="str">
        <f>IF(B333=0,"",IF(B333="no pick","No Pick",IF(LEFT(B333,LEN(B$19))=B$19,B$19,C$19)))</f>
        <v/>
      </c>
      <c r="H333" s="95" t="str">
        <f t="shared" si="119"/>
        <v>0-0</v>
      </c>
      <c r="J333" s="95">
        <f>D$19</f>
        <v>0</v>
      </c>
      <c r="K333" s="95" t="str">
        <f t="shared" si="120"/>
        <v>SR</v>
      </c>
      <c r="L333" s="95" t="str">
        <f t="shared" si="121"/>
        <v>0</v>
      </c>
      <c r="M333" s="95" t="str">
        <f t="shared" si="122"/>
        <v>0</v>
      </c>
      <c r="N333" s="95" t="str">
        <f t="shared" si="123"/>
        <v>0</v>
      </c>
      <c r="O333" s="95" t="str">
        <f t="shared" si="124"/>
        <v>0</v>
      </c>
      <c r="P333" s="95" t="str">
        <f t="shared" si="125"/>
        <v>0</v>
      </c>
      <c r="Q333" s="95">
        <f>IF(AND(G333=T$19,LEN(G333)&gt;1),1,0)</f>
        <v>0</v>
      </c>
      <c r="R333" s="97">
        <f>Doubles!G$19</f>
        <v>18</v>
      </c>
      <c r="S333" s="95">
        <f>IF(AND(H333=H$19,LEN(H333)&gt;1,Q333=1),1,0)</f>
        <v>0</v>
      </c>
      <c r="V333" s="97">
        <f>VLOOKUP(18,R316:S339,2,0)</f>
        <v>0</v>
      </c>
      <c r="W333" s="95">
        <v>18</v>
      </c>
    </row>
    <row r="334" spans="1:23">
      <c r="A334" s="95">
        <v>19</v>
      </c>
      <c r="B334" s="95">
        <f>IF(Doubles!M82="",0,Doubles!M82)</f>
        <v>0</v>
      </c>
      <c r="C334" s="99" t="str">
        <f>IF(OR(LEFT(B334,LEN(B$20))=B$20,LEFT(B334,LEN(C$20))=C$20,LEN(B334)&lt;2),"",IF(B334="no pick","","Wrong pick"))</f>
        <v/>
      </c>
      <c r="E334" s="95">
        <f t="shared" si="118"/>
        <v>0</v>
      </c>
      <c r="G334" s="95" t="str">
        <f>IF(B334=0,"",IF(B334="no pick","No Pick",IF(LEFT(B334,LEN(B$20))=B$20,B$20,C$20)))</f>
        <v/>
      </c>
      <c r="H334" s="95" t="str">
        <f t="shared" si="119"/>
        <v>0-0</v>
      </c>
      <c r="J334" s="95">
        <f>D$20</f>
        <v>0</v>
      </c>
      <c r="K334" s="95" t="str">
        <f t="shared" si="120"/>
        <v>SR</v>
      </c>
      <c r="L334" s="95" t="str">
        <f t="shared" si="121"/>
        <v>0</v>
      </c>
      <c r="M334" s="95" t="str">
        <f t="shared" si="122"/>
        <v>0</v>
      </c>
      <c r="N334" s="95" t="str">
        <f t="shared" si="123"/>
        <v>0</v>
      </c>
      <c r="O334" s="95" t="str">
        <f t="shared" si="124"/>
        <v>0</v>
      </c>
      <c r="P334" s="95" t="str">
        <f t="shared" si="125"/>
        <v>0</v>
      </c>
      <c r="Q334" s="95">
        <f>IF(AND(G334=T$20,LEN(G334)&gt;1),1,0)</f>
        <v>0</v>
      </c>
      <c r="R334" s="97">
        <f>Doubles!G$20</f>
        <v>19</v>
      </c>
      <c r="S334" s="95">
        <f>IF(AND(H334=H$20,LEN(H334)&gt;1,Q334=1),1,0)</f>
        <v>0</v>
      </c>
      <c r="V334" s="97">
        <f>VLOOKUP(19,R316:S339,2,0)</f>
        <v>0</v>
      </c>
      <c r="W334" s="95">
        <v>19</v>
      </c>
    </row>
    <row r="335" spans="1:23">
      <c r="A335" s="95">
        <v>20</v>
      </c>
      <c r="B335" s="95">
        <f>IF(Doubles!M83="",0,Doubles!M83)</f>
        <v>0</v>
      </c>
      <c r="C335" s="99" t="str">
        <f>IF(OR(LEFT(B335,LEN(B$21))=B$21,LEFT(B335,LEN(C$21))=C$21,LEN(B335)&lt;2),"",IF(B335="no pick","","Wrong pick"))</f>
        <v/>
      </c>
      <c r="E335" s="95">
        <f t="shared" si="118"/>
        <v>0</v>
      </c>
      <c r="G335" s="95" t="str">
        <f>IF(B335=0,"",IF(B335="no pick","No Pick",IF(LEFT(B335,LEN(B$21))=B$21,B$21,C$21)))</f>
        <v/>
      </c>
      <c r="H335" s="95" t="str">
        <f t="shared" si="119"/>
        <v>0-0</v>
      </c>
      <c r="J335" s="95">
        <f>D$21</f>
        <v>0</v>
      </c>
      <c r="K335" s="95" t="str">
        <f t="shared" si="120"/>
        <v>SR</v>
      </c>
      <c r="L335" s="95" t="str">
        <f t="shared" si="121"/>
        <v>0</v>
      </c>
      <c r="M335" s="95" t="str">
        <f t="shared" si="122"/>
        <v>0</v>
      </c>
      <c r="N335" s="95" t="str">
        <f t="shared" si="123"/>
        <v>0</v>
      </c>
      <c r="O335" s="95" t="str">
        <f t="shared" si="124"/>
        <v>0</v>
      </c>
      <c r="P335" s="95" t="str">
        <f t="shared" si="125"/>
        <v>0</v>
      </c>
      <c r="Q335" s="95">
        <f>IF(AND(G335=T$21,LEN(G335)&gt;1),1,0)</f>
        <v>0</v>
      </c>
      <c r="R335" s="97">
        <f>Doubles!G$21</f>
        <v>20</v>
      </c>
      <c r="S335" s="95">
        <f>IF(AND(H335=H$21,LEN(H335)&gt;1,Q335=1),1,0)</f>
        <v>0</v>
      </c>
      <c r="V335" s="97">
        <f>VLOOKUP(20,R316:S339,2,0)</f>
        <v>0</v>
      </c>
      <c r="W335" s="95">
        <v>20</v>
      </c>
    </row>
    <row r="336" spans="1:23">
      <c r="A336" s="95">
        <v>21</v>
      </c>
      <c r="B336" s="95">
        <f>IF(Doubles!M84="",0,Doubles!M84)</f>
        <v>0</v>
      </c>
      <c r="C336" s="99" t="str">
        <f>IF(OR(LEFT(B336,LEN(B$22))=B$22,LEFT(B336,LEN(C$22))=C$22,LEN(B336)&lt;2),"",IF(B336="no pick","","Wrong pick"))</f>
        <v/>
      </c>
      <c r="E336" s="95">
        <f t="shared" si="118"/>
        <v>0</v>
      </c>
      <c r="G336" s="95" t="str">
        <f>IF(B336=0,"",IF(B336="no pick","No Pick",IF(LEFT(B336,LEN(B$22))=B$22,B$22,C$22)))</f>
        <v/>
      </c>
      <c r="H336" s="95" t="str">
        <f t="shared" si="119"/>
        <v>0-0</v>
      </c>
      <c r="J336" s="95">
        <f>D$22</f>
        <v>0</v>
      </c>
      <c r="K336" s="95" t="str">
        <f t="shared" si="120"/>
        <v>SR</v>
      </c>
      <c r="L336" s="95" t="str">
        <f t="shared" si="121"/>
        <v>0</v>
      </c>
      <c r="M336" s="95" t="str">
        <f t="shared" si="122"/>
        <v>0</v>
      </c>
      <c r="N336" s="95" t="str">
        <f t="shared" si="123"/>
        <v>0</v>
      </c>
      <c r="O336" s="95" t="str">
        <f t="shared" si="124"/>
        <v>0</v>
      </c>
      <c r="P336" s="95" t="str">
        <f t="shared" si="125"/>
        <v>0</v>
      </c>
      <c r="Q336" s="95">
        <f>IF(AND(G336=T$22,LEN(G336)&gt;1),1,0)</f>
        <v>0</v>
      </c>
      <c r="R336" s="97">
        <f>Doubles!G$22</f>
        <v>21</v>
      </c>
      <c r="S336" s="95">
        <f>IF(AND(H336=H$22,LEN(H336)&gt;1,Q336=1),1,0)</f>
        <v>0</v>
      </c>
      <c r="V336" s="97">
        <f>VLOOKUP(21,R316:S339,2,0)</f>
        <v>0</v>
      </c>
      <c r="W336" s="95">
        <v>21</v>
      </c>
    </row>
    <row r="337" spans="1:29">
      <c r="A337" s="95">
        <v>22</v>
      </c>
      <c r="B337" s="95">
        <f>IF(Doubles!M85="",0,Doubles!M85)</f>
        <v>0</v>
      </c>
      <c r="C337" s="99" t="str">
        <f>IF(OR(LEFT(B337,LEN(B$23))=B$23,LEFT(B337,LEN(C$23))=C$23,LEN(B337)&lt;2),"",IF(B337="no pick","","Wrong pick"))</f>
        <v/>
      </c>
      <c r="E337" s="95">
        <f t="shared" si="118"/>
        <v>0</v>
      </c>
      <c r="G337" s="95" t="str">
        <f>IF(B337=0,"",IF(B337="no pick","No Pick",IF(LEFT(B337,LEN(B$23))=B$23,B$23,C$23)))</f>
        <v/>
      </c>
      <c r="H337" s="95" t="str">
        <f t="shared" si="119"/>
        <v>0-0</v>
      </c>
      <c r="J337" s="95">
        <f>D$23</f>
        <v>0</v>
      </c>
      <c r="K337" s="95" t="str">
        <f t="shared" si="120"/>
        <v>SR</v>
      </c>
      <c r="L337" s="95" t="str">
        <f t="shared" si="121"/>
        <v>0</v>
      </c>
      <c r="M337" s="95" t="str">
        <f t="shared" si="122"/>
        <v>0</v>
      </c>
      <c r="N337" s="95" t="str">
        <f t="shared" si="123"/>
        <v>0</v>
      </c>
      <c r="O337" s="95" t="str">
        <f t="shared" si="124"/>
        <v>0</v>
      </c>
      <c r="P337" s="95" t="str">
        <f t="shared" si="125"/>
        <v>0</v>
      </c>
      <c r="Q337" s="95">
        <f>IF(AND(G337=T$23,LEN(G337)&gt;1),1,0)</f>
        <v>0</v>
      </c>
      <c r="R337" s="97">
        <f>Doubles!G$23</f>
        <v>22</v>
      </c>
      <c r="S337" s="95">
        <f>IF(AND(H337=H$23,LEN(H337)&gt;1,Q337=1),1,0)</f>
        <v>0</v>
      </c>
      <c r="V337" s="97">
        <f>VLOOKUP(22,R316:S339,2,0)</f>
        <v>0</v>
      </c>
      <c r="W337" s="95">
        <v>22</v>
      </c>
    </row>
    <row r="338" spans="1:29">
      <c r="A338" s="95">
        <v>23</v>
      </c>
      <c r="B338" s="95">
        <f>IF(Doubles!M86="",0,Doubles!M86)</f>
        <v>0</v>
      </c>
      <c r="C338" s="99" t="str">
        <f>IF(OR(LEFT(B338,LEN(B$24))=B$24,LEFT(B338,LEN(C$24))=C$24,LEN(B338)&lt;2),"",IF(B338="no pick","","Wrong pick"))</f>
        <v/>
      </c>
      <c r="E338" s="95">
        <f t="shared" si="118"/>
        <v>0</v>
      </c>
      <c r="G338" s="95" t="str">
        <f>IF(B338=0,"",IF(B338="no pick","No Pick",IF(LEFT(B338,LEN(B$24))=B$24,B$24,C$24)))</f>
        <v/>
      </c>
      <c r="H338" s="95" t="str">
        <f t="shared" si="119"/>
        <v>0-0</v>
      </c>
      <c r="J338" s="95">
        <f>D$24</f>
        <v>0</v>
      </c>
      <c r="K338" s="95" t="str">
        <f t="shared" si="120"/>
        <v>SR</v>
      </c>
      <c r="L338" s="95" t="str">
        <f t="shared" si="121"/>
        <v>0</v>
      </c>
      <c r="M338" s="95" t="str">
        <f t="shared" si="122"/>
        <v>0</v>
      </c>
      <c r="N338" s="95" t="str">
        <f t="shared" si="123"/>
        <v>0</v>
      </c>
      <c r="O338" s="95" t="str">
        <f t="shared" si="124"/>
        <v>0</v>
      </c>
      <c r="P338" s="95" t="str">
        <f t="shared" si="125"/>
        <v>0</v>
      </c>
      <c r="Q338" s="95">
        <f>IF(AND(G338=T$24,LEN(G338)&gt;1),1,0)</f>
        <v>0</v>
      </c>
      <c r="R338" s="97">
        <f>Doubles!G$24</f>
        <v>23</v>
      </c>
      <c r="S338" s="95">
        <f>IF(AND(H338=H$24,LEN(H338)&gt;1,Q338=1),1,0)</f>
        <v>0</v>
      </c>
      <c r="V338" s="97">
        <f>VLOOKUP(23,R316:S339,2,0)</f>
        <v>0</v>
      </c>
      <c r="W338" s="95">
        <v>23</v>
      </c>
    </row>
    <row r="339" spans="1:29">
      <c r="A339" s="95">
        <v>24</v>
      </c>
      <c r="B339" s="95">
        <f>IF(Doubles!M87="",0,Doubles!M87)</f>
        <v>0</v>
      </c>
      <c r="C339" s="99" t="str">
        <f>IF(OR(LEFT(B339,LEN(B$25))=B$25,LEFT(B339,LEN(C$25))=C$25,LEN(B339)&lt;2),"",IF(B339="no pick","","Wrong pick"))</f>
        <v/>
      </c>
      <c r="E339" s="95">
        <f t="shared" si="118"/>
        <v>0</v>
      </c>
      <c r="G339" s="95" t="str">
        <f>IF(B339=0,"",IF(B339="no pick","No Pick",IF(LEFT(B339,LEN(B$25))=B$25,B$25,C$25)))</f>
        <v/>
      </c>
      <c r="H339" s="95" t="str">
        <f t="shared" si="119"/>
        <v>0-0</v>
      </c>
      <c r="J339" s="95">
        <f>D$25</f>
        <v>0</v>
      </c>
      <c r="K339" s="95" t="str">
        <f t="shared" si="120"/>
        <v>SR</v>
      </c>
      <c r="L339" s="95" t="str">
        <f t="shared" si="121"/>
        <v>0</v>
      </c>
      <c r="M339" s="95" t="str">
        <f t="shared" si="122"/>
        <v>0</v>
      </c>
      <c r="N339" s="95" t="str">
        <f t="shared" si="123"/>
        <v>0</v>
      </c>
      <c r="O339" s="95" t="str">
        <f t="shared" si="124"/>
        <v>0</v>
      </c>
      <c r="P339" s="95" t="str">
        <f t="shared" si="125"/>
        <v>0</v>
      </c>
      <c r="Q339" s="95">
        <f>IF(AND(G339=T$25,LEN(G339)&gt;1),1,0)</f>
        <v>0</v>
      </c>
      <c r="R339" s="97">
        <f>Doubles!G$25</f>
        <v>24</v>
      </c>
      <c r="S339" s="95">
        <f>IF(AND(H339=H$25,LEN(H339)&gt;1,Q339=1),1,0)</f>
        <v>0</v>
      </c>
      <c r="V339" s="97">
        <f>VLOOKUP(24,R316:S339,2,0)</f>
        <v>0</v>
      </c>
      <c r="W339" s="95">
        <v>24</v>
      </c>
    </row>
    <row r="340" spans="1:29">
      <c r="A340" s="106"/>
      <c r="B340" s="106"/>
      <c r="C340" s="107"/>
      <c r="D340" s="106"/>
      <c r="E340" s="106"/>
      <c r="Q340" s="106"/>
      <c r="R340" s="106"/>
      <c r="S340" s="106"/>
      <c r="W340" s="95">
        <v>25</v>
      </c>
    </row>
    <row r="341" spans="1:29">
      <c r="A341" s="95" t="str">
        <f>IF(LEN(VLOOKUP(B341,Doubles!$A$2:$D$17,4,0))&gt;0,VLOOKUP(B341,Doubles!$A$2:$D$17,4,0),"")</f>
        <v/>
      </c>
      <c r="B341" s="96" t="str">
        <f>Doubles!N63</f>
        <v>Lazyking</v>
      </c>
      <c r="C341" s="96">
        <v>1</v>
      </c>
      <c r="D341" s="95" t="str">
        <f>VLOOKUP(B341,Doubles!$A$2:$E$17,5,0)</f>
        <v>USA</v>
      </c>
      <c r="E341" s="95" t="s">
        <v>124</v>
      </c>
      <c r="J341" s="95" t="s">
        <v>88</v>
      </c>
      <c r="Q341" s="95" t="s">
        <v>121</v>
      </c>
      <c r="S341" s="95" t="s">
        <v>122</v>
      </c>
      <c r="T341" s="95" t="str">
        <f>IF(LEN(A341)&gt;0,"("&amp;A341&amp;") "&amp;B341,B341)</f>
        <v>Lazyking</v>
      </c>
      <c r="V341" s="95" t="s">
        <v>122</v>
      </c>
      <c r="W341" s="95" t="str">
        <f>""</f>
        <v/>
      </c>
    </row>
    <row r="342" spans="1:29">
      <c r="A342" s="95">
        <v>1</v>
      </c>
      <c r="B342" s="95" t="str">
        <f>IF(Doubles!N64="",0,Doubles!N64)</f>
        <v>GHEM 64 46 64</v>
      </c>
      <c r="C342" s="99" t="str">
        <f>IF(OR(LEFT(B342,LEN(B$2))=B$2,LEFT(B342,LEN(C$2))=C$2,LEN(B342)&lt;2),"",IF(B342="no pick","","Wrong pick"))</f>
        <v/>
      </c>
      <c r="D342" s="95">
        <f t="shared" ref="D342:D365" si="126">IF(G342=G368,0,1)</f>
        <v>0</v>
      </c>
      <c r="E342" s="95">
        <f t="shared" ref="E342:E365" si="127">IF(AND($I$2=J342,B342=0),1,0)</f>
        <v>0</v>
      </c>
      <c r="F342" s="95" t="str">
        <f>IF(AND(SUM(E342:E365)=$I$4,NOT(B341="Bye")),"Missing picks from "&amp;B341&amp;" ","")</f>
        <v/>
      </c>
      <c r="G342" s="95" t="str">
        <f>IF(B342=0,"",IF(B342="no pick","No Pick",IF(LEFT(B342,LEN(B$2))=B$2,B$2,C$2)))</f>
        <v>Ghem</v>
      </c>
      <c r="H342" s="95" t="str">
        <f t="shared" ref="H342:H365" si="128">IF(L342="","",IF(K342="PTS",IF(LEN(O342)&lt;8,"2-0","2-1"),LEFT(O342,1)&amp;"-"&amp;RIGHT(O342,1)))</f>
        <v>2-1</v>
      </c>
      <c r="I342" s="95" t="str">
        <f>IF(AND(J342=$I$2,F$2=0,NOT(E$2="")),IF(OR(AND(Y342=AA342,Z342=AB342),AND(Y342=AB342,Z342=AA342)),"",IF(AND(Y342=Z342,AA342=AB342),Y342&amp;" +2 v. "&amp;AA342&amp;" +2, ",IF(Y342=AA342,Z342&amp;" v. "&amp;AB342&amp;", ",IF(Z342=AB342,Y342&amp;" v. "&amp;AA342&amp;", ",IF(Y342=AB342,Z342&amp;" v. "&amp;AA342&amp;", ",IF(Z342=AA342,Y342&amp;" v. "&amp;AB342&amp;", ",Y342&amp;" v. "&amp;AA342&amp;", "&amp;Z342&amp;" v. "&amp;AB342&amp;", ")))))),"")</f>
        <v/>
      </c>
      <c r="J342" s="97">
        <f>D$2</f>
        <v>1</v>
      </c>
      <c r="K342" s="95" t="str">
        <f t="shared" ref="K342:K365" si="129">IF(LEN(L342)&gt;0,IF(LEN(O342)&lt;4,"SR","PTS"),"")</f>
        <v>PTS</v>
      </c>
      <c r="L342" s="95" t="str">
        <f t="shared" ref="L342:L365" si="130">TRIM(RIGHT(B342,LEN(B342)-LEN(G342)))</f>
        <v>64 46 64</v>
      </c>
      <c r="M342" s="95" t="str">
        <f t="shared" ref="M342:M365" si="131">SUBSTITUTE(L342,"-","")</f>
        <v>64 46 64</v>
      </c>
      <c r="N342" s="95" t="str">
        <f t="shared" ref="N342:N365" si="132">SUBSTITUTE(M342,","," ")</f>
        <v>64 46 64</v>
      </c>
      <c r="O342" s="95" t="str">
        <f t="shared" ref="O342:O365" si="133">IF(AND(LEN(TRIM(SUBSTITUTE(P342,"/","")))&gt;6,OR(LEFT(TRIM(SUBSTITUTE(P342,"/","")),2)="20",LEFT(TRIM(SUBSTITUTE(P342,"/","")),2)="21")),RIGHT(TRIM(SUBSTITUTE(P342,"/","")),LEN(TRIM(SUBSTITUTE(P342,"/","")))-3),TRIM(SUBSTITUTE(P342,"/","")))</f>
        <v>64 46 64</v>
      </c>
      <c r="P342" s="95" t="str">
        <f t="shared" ref="P342:P365" si="134">SUBSTITUTE(N342,":","")</f>
        <v>64 46 64</v>
      </c>
      <c r="Q342" s="95">
        <f>IF(AND(G342=T$2,LEN(G342)&gt;1),1,0)</f>
        <v>0</v>
      </c>
      <c r="R342" s="97">
        <f>Doubles!G$2</f>
        <v>1</v>
      </c>
      <c r="S342" s="95">
        <f>IF(AND(H342=H$2,LEN(H342)&gt;1,Q342=1),1,0)</f>
        <v>0</v>
      </c>
      <c r="T342" s="95" t="str">
        <f>" SR Differences: "&amp;IF(LEN(I342&amp;I343&amp;I344&amp;I345&amp;I346&amp;I347&amp;I348&amp;I349&amp;I350&amp;I351&amp;I352&amp;I353&amp;I354&amp;I355&amp;I356&amp;I357&amp;I358&amp;I359&amp;I360&amp;I361&amp;I362&amp;I363&amp;I364&amp;I365)&lt;3,"None..",I342&amp;I343&amp;I344&amp;I345&amp;I346&amp;I347&amp;I348&amp;I349&amp;I350&amp;I351&amp;I352&amp;I353&amp;I354&amp;I355&amp;I356&amp;I357&amp;I358&amp;I359&amp;I360&amp;I361&amp;I362&amp;I363&amp;I364&amp;I365)</f>
        <v xml:space="preserve"> SR Differences: Laranja 2-1 v. Gaio 2-0, Gaio 2-1 v. Gaio 2-0, Lindell 2-1 v. Duran 2-1, Duran 2-0 v. Duran 2-1, Michon 2-1 v. Michon 2-0, matos 2-1 v. collinari 2-0, turini 2-0 v. galdon 2-0, turini 2-1 v. galdon 2-0, Fligia 2-0 v. santos 2-0, santos 2-1 v. santos 2-0, </v>
      </c>
      <c r="V342" s="97">
        <f>VLOOKUP(1,R342:S365,2,0)</f>
        <v>0</v>
      </c>
      <c r="W342" s="95" t="str">
        <f t="shared" ref="W342:W365" si="135">IF(J342=$I$2,IF(OR(G342&amp;G394=G368&amp;G420,G342&amp;G394=G420&amp;G368),"",IF(G342=G394,G342,IF(OR(G342=G368,G342=G420),G394,IF(OR(G394=G368,G394=G420),G342,G342&amp;", "&amp;G394)))),"")</f>
        <v/>
      </c>
      <c r="X342" s="95">
        <f>IF(F$2=0,IF(AND(G342=G394,NOT(G342=G368),NOT(G342=G420),LEN(W342)&gt;0),2,IF(LEN(W342)=0,0,1)),0)</f>
        <v>0</v>
      </c>
      <c r="Y342" s="95" t="str">
        <f t="shared" ref="Y342:Y365" si="136">G342&amp;" "&amp;H342</f>
        <v>Ghem 2-1</v>
      </c>
      <c r="Z342" s="95" t="str">
        <f t="shared" ref="Z342:Z365" si="137">G394&amp;" "&amp;H394</f>
        <v>Travaglia 2-1</v>
      </c>
      <c r="AA342" s="95" t="str">
        <f t="shared" ref="AA342:AA365" si="138">G368&amp;" "&amp;H368</f>
        <v>Ghem 2-1</v>
      </c>
      <c r="AB342" s="95" t="str">
        <f t="shared" ref="AB342:AB365" si="139">G420&amp;" "&amp;H420</f>
        <v>Travaglia 2-1</v>
      </c>
      <c r="AC342" s="95" t="str">
        <f>IF(AND(LEN(W342)&gt;0,F$2=0),IF(X342=2,W342&amp;" +2, ",W342&amp;", "),"")</f>
        <v/>
      </c>
    </row>
    <row r="343" spans="1:29">
      <c r="A343" s="95">
        <v>2</v>
      </c>
      <c r="B343" s="95" t="str">
        <f>IF(Doubles!N65="",0,Doubles!N65)</f>
        <v>MACHADO 64 63</v>
      </c>
      <c r="C343" s="99" t="str">
        <f>IF(OR(LEFT(B343,LEN(B$3))=B$3,LEFT(B343,LEN(C$3))=C$3,LEN(B343)&lt;2),"",IF(B343="no pick","","Wrong pick"))</f>
        <v/>
      </c>
      <c r="D343" s="95">
        <f t="shared" si="126"/>
        <v>0</v>
      </c>
      <c r="E343" s="95">
        <f t="shared" si="127"/>
        <v>0</v>
      </c>
      <c r="G343" s="95" t="str">
        <f>IF(B343=0,"",IF(B343="no pick","No Pick",IF(LEFT(B343,LEN(B$3))=B$3,B$3,C$3)))</f>
        <v>Machado</v>
      </c>
      <c r="H343" s="95" t="str">
        <f t="shared" si="128"/>
        <v>2-0</v>
      </c>
      <c r="I343" s="95" t="str">
        <f>IF(AND(J343=$I$2,F$3=0,NOT(E$3="")),IF(OR(AND(Y343=AA343,Z343=AB343),AND(Y343=AB343,Z343=AA343)),"",IF(AND(Y343=Z343,AA343=AB343),Y343&amp;" +2 v. "&amp;AA343&amp;" +2, ",IF(Y343=AA343,Z343&amp;" v. "&amp;AB343&amp;", ",IF(Z343=AB343,Y343&amp;" v. "&amp;AA343&amp;", ",IF(Y343=AB343,Z343&amp;" v. "&amp;AA343&amp;", ",IF(Z343=AA343,Y343&amp;" v. "&amp;AB343&amp;", ",Y343&amp;" v. "&amp;AA343&amp;", "&amp;Z343&amp;" v. "&amp;AB343&amp;", ")))))),"")</f>
        <v/>
      </c>
      <c r="J343" s="97">
        <f>D$3</f>
        <v>1</v>
      </c>
      <c r="K343" s="95" t="str">
        <f t="shared" si="129"/>
        <v>PTS</v>
      </c>
      <c r="L343" s="95" t="str">
        <f t="shared" si="130"/>
        <v>64 63</v>
      </c>
      <c r="M343" s="95" t="str">
        <f t="shared" si="131"/>
        <v>64 63</v>
      </c>
      <c r="N343" s="95" t="str">
        <f t="shared" si="132"/>
        <v>64 63</v>
      </c>
      <c r="O343" s="95" t="str">
        <f t="shared" si="133"/>
        <v>64 63</v>
      </c>
      <c r="P343" s="95" t="str">
        <f t="shared" si="134"/>
        <v>64 63</v>
      </c>
      <c r="Q343" s="95">
        <f>IF(AND(G343=T$3,LEN(G343)&gt;1),1,0)</f>
        <v>0</v>
      </c>
      <c r="R343" s="97">
        <f>Doubles!G$3</f>
        <v>2</v>
      </c>
      <c r="S343" s="95">
        <f>IF(AND(H343=H$3,LEN(H343)&gt;1,Q343=1),1,0)</f>
        <v>0</v>
      </c>
      <c r="V343" s="97">
        <f>VLOOKUP(2,R342:S365,2,0)</f>
        <v>0</v>
      </c>
      <c r="W343" s="95" t="str">
        <f t="shared" si="135"/>
        <v/>
      </c>
      <c r="X343" s="95">
        <f>IF(F$3=0,IF(AND(G343=G395,NOT(G343=G369),NOT(G343=G421),LEN(W343)&gt;0),2,IF(LEN(W343)=0,0,1)),0)</f>
        <v>0</v>
      </c>
      <c r="Y343" s="95" t="str">
        <f t="shared" si="136"/>
        <v>Machado 2-0</v>
      </c>
      <c r="Z343" s="95" t="str">
        <f t="shared" si="137"/>
        <v>Machado 2-0</v>
      </c>
      <c r="AA343" s="95" t="str">
        <f t="shared" si="138"/>
        <v>Machado 2-0</v>
      </c>
      <c r="AB343" s="95" t="str">
        <f t="shared" si="139"/>
        <v>Machado 2-0</v>
      </c>
      <c r="AC343" s="95" t="str">
        <f>IF(AND(LEN(W343)&gt;0,F$3=0),IF(X343=2,W343&amp;" +2, ",W343&amp;", "),"")</f>
        <v/>
      </c>
    </row>
    <row r="344" spans="1:29">
      <c r="A344" s="95">
        <v>3</v>
      </c>
      <c r="B344" s="95" t="str">
        <f>IF(Doubles!N66="",0,Doubles!N66)</f>
        <v>JUNQUEIRA 76 62</v>
      </c>
      <c r="C344" s="99" t="str">
        <f>IF(OR(LEFT(B344,LEN(B$4))=B$4,LEFT(B344,LEN(C$4))=C$4,LEN(B344)&lt;2),"",IF(B344="no pick","","Wrong pick"))</f>
        <v/>
      </c>
      <c r="D344" s="95">
        <f t="shared" si="126"/>
        <v>0</v>
      </c>
      <c r="E344" s="95">
        <f t="shared" si="127"/>
        <v>0</v>
      </c>
      <c r="G344" s="95" t="str">
        <f>IF(B344=0,"",IF(B344="no pick","No Pick",IF(LEFT(B344,LEN(B$4))=B$4,B$4,C$4)))</f>
        <v>Junqueira</v>
      </c>
      <c r="H344" s="95" t="str">
        <f t="shared" si="128"/>
        <v>2-0</v>
      </c>
      <c r="I344" s="95" t="str">
        <f>IF(AND(J344=$I$2,F$4=0,NOT(E$4="")),IF(OR(AND(Y344=AA344,Z344=AB344),AND(Y344=AB344,Z344=AA344)),"",IF(AND(Y344=Z344,AA344=AB344),Y344&amp;" +2 v. "&amp;AA344&amp;" +2, ",IF(Y344=AA344,Z344&amp;" v. "&amp;AB344&amp;", ",IF(Z344=AB344,Y344&amp;" v. "&amp;AA344&amp;", ",IF(Y344=AB344,Z344&amp;" v. "&amp;AA344&amp;", ",IF(Z344=AA344,Y344&amp;" v. "&amp;AB344&amp;", ",Y344&amp;" v. "&amp;AA344&amp;", "&amp;Z344&amp;" v. "&amp;AB344&amp;", ")))))),"")</f>
        <v/>
      </c>
      <c r="J344" s="97">
        <f>D$4</f>
        <v>1</v>
      </c>
      <c r="K344" s="95" t="str">
        <f t="shared" si="129"/>
        <v>PTS</v>
      </c>
      <c r="L344" s="95" t="str">
        <f t="shared" si="130"/>
        <v>76 62</v>
      </c>
      <c r="M344" s="95" t="str">
        <f t="shared" si="131"/>
        <v>76 62</v>
      </c>
      <c r="N344" s="95" t="str">
        <f t="shared" si="132"/>
        <v>76 62</v>
      </c>
      <c r="O344" s="95" t="str">
        <f t="shared" si="133"/>
        <v>76 62</v>
      </c>
      <c r="P344" s="95" t="str">
        <f t="shared" si="134"/>
        <v>76 62</v>
      </c>
      <c r="Q344" s="95">
        <f>IF(AND(G344=T$4,LEN(G344)&gt;1),1,0)</f>
        <v>0</v>
      </c>
      <c r="R344" s="97">
        <f>Doubles!G$4</f>
        <v>3</v>
      </c>
      <c r="S344" s="95">
        <f>IF(AND(H344=H$4,LEN(H344)&gt;1,Q344=1),1,0)</f>
        <v>0</v>
      </c>
      <c r="T344" s="101">
        <f>SUMIF(J342:J365,$I$2,X342:X365)</f>
        <v>6</v>
      </c>
      <c r="V344" s="97">
        <f>VLOOKUP(3,R342:S365,2,0)</f>
        <v>0</v>
      </c>
      <c r="W344" s="95" t="str">
        <f t="shared" si="135"/>
        <v/>
      </c>
      <c r="X344" s="95">
        <f>IF(F$4=0,IF(AND(G344=G396,NOT(G344=G370),NOT(G344=G422),LEN(W344)&gt;0),2,IF(LEN(W344)=0,0,1)),0)</f>
        <v>0</v>
      </c>
      <c r="Y344" s="95" t="str">
        <f t="shared" si="136"/>
        <v>Junqueira 2-0</v>
      </c>
      <c r="Z344" s="95" t="str">
        <f t="shared" si="137"/>
        <v>Junqueira 2-0</v>
      </c>
      <c r="AA344" s="95" t="str">
        <f t="shared" si="138"/>
        <v>Junqueira 2-0</v>
      </c>
      <c r="AB344" s="95" t="str">
        <f t="shared" si="139"/>
        <v>Junqueira 2-0</v>
      </c>
      <c r="AC344" s="95" t="str">
        <f>IF(AND(LEN(W344)&gt;0,F$4=0),IF(X344=2,W344&amp;" +2, ",W344&amp;", "),"")</f>
        <v/>
      </c>
    </row>
    <row r="345" spans="1:29">
      <c r="A345" s="95">
        <v>4</v>
      </c>
      <c r="B345" s="95" t="str">
        <f>IF(Doubles!N67="",0,Doubles!N67)</f>
        <v>LARANJA 64 36 76</v>
      </c>
      <c r="C345" s="99" t="str">
        <f>IF(OR(LEFT(B345,LEN(B$5))=B$5,LEFT(B345,LEN(C$5))=C$5,LEN(B345)&lt;2),"",IF(B345="no pick","","Wrong pick"))</f>
        <v/>
      </c>
      <c r="D345" s="95">
        <f t="shared" si="126"/>
        <v>1</v>
      </c>
      <c r="E345" s="95">
        <f t="shared" si="127"/>
        <v>0</v>
      </c>
      <c r="G345" s="95" t="str">
        <f>IF(B345=0,"",IF(B345="no pick","No Pick",IF(LEFT(B345,LEN(B$5))=B$5,B$5,C$5)))</f>
        <v>Laranja</v>
      </c>
      <c r="H345" s="95" t="str">
        <f t="shared" si="128"/>
        <v>2-1</v>
      </c>
      <c r="I345" s="95" t="str">
        <f>IF(AND(J345=$I$2,F$5=0,NOT(E$5="")),IF(OR(AND(Y345=AA345,Z345=AB345),AND(Y345=AB345,Z345=AA345)),"",IF(AND(Y345=Z345,AA345=AB345),Y345&amp;" +2 v. "&amp;AA345&amp;" +2, ",IF(Y345=AA345,Z345&amp;" v. "&amp;AB345&amp;", ",IF(Z345=AB345,Y345&amp;" v. "&amp;AA345&amp;", ",IF(Y345=AB345,Z345&amp;" v. "&amp;AA345&amp;", ",IF(Z345=AA345,Y345&amp;" v. "&amp;AB345&amp;", ",Y345&amp;" v. "&amp;AA345&amp;", "&amp;Z345&amp;" v. "&amp;AB345&amp;", ")))))),"")</f>
        <v xml:space="preserve">Laranja 2-1 v. Gaio 2-0, Gaio 2-1 v. Gaio 2-0, </v>
      </c>
      <c r="J345" s="97">
        <f>D$5</f>
        <v>1</v>
      </c>
      <c r="K345" s="95" t="str">
        <f t="shared" si="129"/>
        <v>PTS</v>
      </c>
      <c r="L345" s="95" t="str">
        <f t="shared" si="130"/>
        <v>64 36 76</v>
      </c>
      <c r="M345" s="95" t="str">
        <f t="shared" si="131"/>
        <v>64 36 76</v>
      </c>
      <c r="N345" s="95" t="str">
        <f t="shared" si="132"/>
        <v>64 36 76</v>
      </c>
      <c r="O345" s="95" t="str">
        <f t="shared" si="133"/>
        <v>64 36 76</v>
      </c>
      <c r="P345" s="95" t="str">
        <f t="shared" si="134"/>
        <v>64 36 76</v>
      </c>
      <c r="Q345" s="95">
        <f>IF(AND(G345=T$5,LEN(G345)&gt;1),1,0)</f>
        <v>0</v>
      </c>
      <c r="R345" s="97">
        <f>Doubles!G$5</f>
        <v>4</v>
      </c>
      <c r="S345" s="95">
        <f>IF(AND(H345=H$5,LEN(H345)&gt;1,Q345=1),1,0)</f>
        <v>0</v>
      </c>
      <c r="T345" s="95" t="s">
        <v>113</v>
      </c>
      <c r="U345" s="95" t="str">
        <f>IF(COUNTIF(C342:C443,"=Wrong Pick")&gt;0,"Incorrect pick, probably a spelling mistake",IF(T351&lt;10,"0","")&amp;T351&amp;":"&amp;IF(T352&lt;10,"0","")&amp;T352&amp;" | [b]"&amp;IF(LEN(U346)&gt;0,U346,T341&amp;"/"&amp;T393&amp;IF(LEN(D341)&gt;1," ("&amp;D341&amp;"/"&amp;D393&amp;")","")&amp;"[/b] vs. [b]"&amp;T367&amp;"/"&amp;T419&amp;IF(LEN(D367)&gt;1," ("&amp;D367&amp;"/"&amp;D419&amp;")","")&amp;"[/b]"&amp;IF(Doubles!$D$21&gt;1," (SR "&amp;U351&amp;":"&amp;U352&amp;")","")&amp;" - "&amp;IF(AND(F342="",F368="",F394="",F420=""),IF(LEN(U397)&gt;1,LEFT(U397,LEN(U397)-2)&amp;" vs. "&amp;LEFT(U398,LEN(U398)-2),IF(SUM(F$2:F$25)=0,"Same Winners; ",""))&amp;IF(AND(OR(AND(Doubles!$D$20&gt;1,Doubles!$D$21&lt;Doubles!$D$20),MOD(T344+T351+T352,2)=0),NOT(Doubles!$D$23="No")),LEFT(T342,LEN(T342)-2),""),F342&amp;F368&amp;F394&amp;F420)))</f>
        <v>00:00 | [b]Lazyking/Southend Aussies (USA/AUS)[/b] vs. [b](3) Sauletekis/theKSHE (POR/POR)[/b] - Laranja, Lindell, matos, turini +2, Fligia vs. Gaio, Duran, collinari, galdon +2, santos SR Differences: Laranja 2-1 v. Gaio 2-0, Gaio 2-1 v. Gaio 2-0, Lindell 2-1 v. Duran 2-1, Duran 2-0 v. Duran 2-1, Michon 2-1 v. Michon 2-0, matos 2-1 v. collinari 2-0, turini 2-0 v. galdon 2-0, turini 2-1 v. galdon 2-0, Fligia 2-0 v. santos 2-0, santos 2-1 v. santos 2-0</v>
      </c>
      <c r="V345" s="97">
        <f>VLOOKUP(4,R342:S365,2,0)</f>
        <v>0</v>
      </c>
      <c r="W345" s="95" t="str">
        <f t="shared" si="135"/>
        <v>Laranja</v>
      </c>
      <c r="X345" s="95">
        <f>IF(F$5=0,IF(AND(G345=G397,NOT(G345=G371),NOT(G345=G423),LEN(W345)&gt;0),2,IF(LEN(W345)=0,0,1)),0)</f>
        <v>1</v>
      </c>
      <c r="Y345" s="95" t="str">
        <f t="shared" si="136"/>
        <v>Laranja 2-1</v>
      </c>
      <c r="Z345" s="95" t="str">
        <f t="shared" si="137"/>
        <v>Gaio 2-1</v>
      </c>
      <c r="AA345" s="95" t="str">
        <f t="shared" si="138"/>
        <v>Gaio 2-0</v>
      </c>
      <c r="AB345" s="95" t="str">
        <f t="shared" si="139"/>
        <v>Gaio 2-0</v>
      </c>
      <c r="AC345" s="95" t="str">
        <f>IF(AND(LEN(W345)&gt;0,F$5=0),IF(X345=2,W345&amp;" +2, ",W345&amp;", "),"")</f>
        <v xml:space="preserve">Laranja, </v>
      </c>
    </row>
    <row r="346" spans="1:29">
      <c r="A346" s="95">
        <v>5</v>
      </c>
      <c r="B346" s="95" t="str">
        <f>IF(Doubles!N68="",0,Doubles!N68)</f>
        <v>PODLIPBIK-CASTILLO 63 63</v>
      </c>
      <c r="C346" s="99" t="str">
        <f>IF(OR(LEFT(B346,LEN(B$6))=B$6,LEFT(B346,LEN(C$6))=C$6,LEN(B346)&lt;2),"",IF(B346="no pick","","Wrong pick"))</f>
        <v/>
      </c>
      <c r="D346" s="95">
        <f t="shared" si="126"/>
        <v>0</v>
      </c>
      <c r="E346" s="95">
        <f t="shared" si="127"/>
        <v>0</v>
      </c>
      <c r="G346" s="95" t="str">
        <f>IF(B346=0,"",IF(B346="no pick","No Pick",IF(LEFT(B346,LEN(B$6))=B$6,B$6,C$6)))</f>
        <v>PODLIPBIK-CASTILLO</v>
      </c>
      <c r="H346" s="95" t="str">
        <f t="shared" si="128"/>
        <v>2-0</v>
      </c>
      <c r="I346" s="95" t="str">
        <f>IF(AND(J346=$I$2,F$6=0,NOT(E$6="")),IF(OR(AND(Y346=AA346,Z346=AB346),AND(Y346=AB346,Z346=AA346)),"",IF(AND(Y346=Z346,AA346=AB346),Y346&amp;" +2 v. "&amp;AA346&amp;" +2, ",IF(Y346=AA346,Z346&amp;" v. "&amp;AB346&amp;", ",IF(Z346=AB346,Y346&amp;" v. "&amp;AA346&amp;", ",IF(Y346=AB346,Z346&amp;" v. "&amp;AA346&amp;", ",IF(Z346=AA346,Y346&amp;" v. "&amp;AB346&amp;", ",Y346&amp;" v. "&amp;AA346&amp;", "&amp;Z346&amp;" v. "&amp;AB346&amp;", ")))))),"")</f>
        <v/>
      </c>
      <c r="J346" s="97">
        <f>D$6</f>
        <v>1</v>
      </c>
      <c r="K346" s="95" t="str">
        <f t="shared" si="129"/>
        <v>PTS</v>
      </c>
      <c r="L346" s="95" t="str">
        <f t="shared" si="130"/>
        <v>63 63</v>
      </c>
      <c r="M346" s="95" t="str">
        <f t="shared" si="131"/>
        <v>63 63</v>
      </c>
      <c r="N346" s="95" t="str">
        <f t="shared" si="132"/>
        <v>63 63</v>
      </c>
      <c r="O346" s="95" t="str">
        <f t="shared" si="133"/>
        <v>63 63</v>
      </c>
      <c r="P346" s="95" t="str">
        <f t="shared" si="134"/>
        <v>63 63</v>
      </c>
      <c r="Q346" s="95">
        <f>IF(AND(G346=T$6,LEN(G346)&gt;1),1,0)</f>
        <v>0</v>
      </c>
      <c r="R346" s="97">
        <f>Doubles!G$6</f>
        <v>5</v>
      </c>
      <c r="S346" s="95">
        <f>IF(AND(H346=H$6,LEN(H346)&gt;1,Q346=1),1,0)</f>
        <v>0</v>
      </c>
      <c r="U346" s="95" t="str">
        <f>IF(B341="Bye","Bye[/b] vs. [b][color=blue]"&amp;T367&amp;"/"&amp;T419&amp;IF(LEN(D367)&gt;1," ("&amp;D367&amp;"/"&amp;D419&amp;")","")&amp;"[/color][/b]",IF(B367="Bye","[color=blue]"&amp;T341&amp;"/"&amp;T393&amp;IF(LEN(D341)&gt;1," ("&amp;D341&amp;"/"&amp;D393&amp;")","")&amp;"[/color][/b] vs. [b]Bye[/b]",""))</f>
        <v/>
      </c>
      <c r="V346" s="97">
        <f>VLOOKUP(5,R342:S365,2,0)</f>
        <v>0</v>
      </c>
      <c r="W346" s="95" t="str">
        <f t="shared" si="135"/>
        <v/>
      </c>
      <c r="X346" s="95">
        <f>IF(F$6=0,IF(AND(G346=G398,NOT(G346=G372),NOT(G346=G424),LEN(W346)&gt;0),2,IF(LEN(W346)=0,0,1)),0)</f>
        <v>0</v>
      </c>
      <c r="Y346" s="95" t="str">
        <f t="shared" si="136"/>
        <v>PODLIPBIK-CASTILLO 2-0</v>
      </c>
      <c r="Z346" s="95" t="str">
        <f t="shared" si="137"/>
        <v>PODLIPBIK-CASTILLO 2-0</v>
      </c>
      <c r="AA346" s="95" t="str">
        <f t="shared" si="138"/>
        <v>PODLIPBIK-CASTILLO 2-0</v>
      </c>
      <c r="AB346" s="95" t="str">
        <f t="shared" si="139"/>
        <v>PODLIPBIK-CASTILLO 2-0</v>
      </c>
      <c r="AC346" s="95" t="str">
        <f>IF(AND(LEN(W346)&gt;0,F$6=0),IF(X346=2,W346&amp;" +2, ",W346&amp;", "),"")</f>
        <v/>
      </c>
    </row>
    <row r="347" spans="1:29">
      <c r="A347" s="95">
        <v>6</v>
      </c>
      <c r="B347" s="95" t="str">
        <f>IF(Doubles!N69="",0,Doubles!N69)</f>
        <v>LINDELL 36 64 62</v>
      </c>
      <c r="C347" s="99" t="str">
        <f>IF(OR(LEFT(B347,LEN(B$7))=B$7,LEFT(B347,LEN(C$7))=C$7,LEN(B347)&lt;2),"",IF(B347="no pick","","Wrong pick"))</f>
        <v/>
      </c>
      <c r="D347" s="95">
        <f t="shared" si="126"/>
        <v>1</v>
      </c>
      <c r="E347" s="95">
        <f t="shared" si="127"/>
        <v>0</v>
      </c>
      <c r="G347" s="95" t="str">
        <f>IF(B347=0,"",IF(B347="no pick","No Pick",IF(LEFT(B347,LEN(B$7))=B$7,B$7,C$7)))</f>
        <v>Lindell</v>
      </c>
      <c r="H347" s="95" t="str">
        <f t="shared" si="128"/>
        <v>2-1</v>
      </c>
      <c r="I347" s="95" t="str">
        <f>IF(AND(J347=$I$2,F$7=0,NOT(E$7="")),IF(OR(AND(Y347=AA347,Z347=AB347),AND(Y347=AB347,Z347=AA347)),"",IF(AND(Y347=Z347,AA347=AB347),Y347&amp;" +2 v. "&amp;AA347&amp;" +2, ",IF(Y347=AA347,Z347&amp;" v. "&amp;AB347&amp;", ",IF(Z347=AB347,Y347&amp;" v. "&amp;AA347&amp;", ",IF(Y347=AB347,Z347&amp;" v. "&amp;AA347&amp;", ",IF(Z347=AA347,Y347&amp;" v. "&amp;AB347&amp;", ",Y347&amp;" v. "&amp;AA347&amp;", "&amp;Z347&amp;" v. "&amp;AB347&amp;", ")))))),"")</f>
        <v xml:space="preserve">Lindell 2-1 v. Duran 2-1, Duran 2-0 v. Duran 2-1, </v>
      </c>
      <c r="J347" s="97">
        <f>D$7</f>
        <v>1</v>
      </c>
      <c r="K347" s="95" t="str">
        <f t="shared" si="129"/>
        <v>PTS</v>
      </c>
      <c r="L347" s="95" t="str">
        <f t="shared" si="130"/>
        <v>36 64 62</v>
      </c>
      <c r="M347" s="95" t="str">
        <f t="shared" si="131"/>
        <v>36 64 62</v>
      </c>
      <c r="N347" s="95" t="str">
        <f t="shared" si="132"/>
        <v>36 64 62</v>
      </c>
      <c r="O347" s="95" t="str">
        <f t="shared" si="133"/>
        <v>36 64 62</v>
      </c>
      <c r="P347" s="95" t="str">
        <f t="shared" si="134"/>
        <v>36 64 62</v>
      </c>
      <c r="Q347" s="95">
        <f>IF(AND(G347=T$7,LEN(G347)&gt;1),1,0)</f>
        <v>0</v>
      </c>
      <c r="R347" s="97">
        <f>Doubles!G$7</f>
        <v>6</v>
      </c>
      <c r="S347" s="95">
        <f>IF(AND(H347=H$7,LEN(H347)&gt;1,Q347=1),1,0)</f>
        <v>0</v>
      </c>
      <c r="T347" s="105">
        <f>SUM(Q342:Q365)</f>
        <v>0</v>
      </c>
      <c r="U347" s="97">
        <f>SUM(S342:S365)</f>
        <v>0</v>
      </c>
      <c r="V347" s="97">
        <f>VLOOKUP(6,R342:S365,2,0)</f>
        <v>0</v>
      </c>
      <c r="W347" s="95" t="str">
        <f t="shared" si="135"/>
        <v>Lindell</v>
      </c>
      <c r="X347" s="95">
        <f>IF(F$7=0,IF(AND(G347=G399,NOT(G347=G373),NOT(G347=G425),LEN(W347)&gt;0),2,IF(LEN(W347)=0,0,1)),0)</f>
        <v>1</v>
      </c>
      <c r="Y347" s="95" t="str">
        <f t="shared" si="136"/>
        <v>Lindell 2-1</v>
      </c>
      <c r="Z347" s="95" t="str">
        <f t="shared" si="137"/>
        <v>Duran 2-0</v>
      </c>
      <c r="AA347" s="95" t="str">
        <f t="shared" si="138"/>
        <v>Duran 2-1</v>
      </c>
      <c r="AB347" s="95" t="str">
        <f t="shared" si="139"/>
        <v>Duran 2-1</v>
      </c>
      <c r="AC347" s="95" t="str">
        <f>IF(AND(LEN(W347)&gt;0,F$7=0),IF(X347=2,W347&amp;" +2, ",W347&amp;", "),"")</f>
        <v xml:space="preserve">Lindell, </v>
      </c>
    </row>
    <row r="348" spans="1:29">
      <c r="A348" s="95">
        <v>7</v>
      </c>
      <c r="B348" s="95" t="str">
        <f>IF(Doubles!N70="",0,Doubles!N70)</f>
        <v>MICHON 76 64</v>
      </c>
      <c r="C348" s="99" t="str">
        <f>IF(OR(LEFT(B348,LEN(B$8))=B$8,LEFT(B348,LEN(C$8))=C$8,LEN(B348)&lt;2),"",IF(B348="no pick","","Wrong pick"))</f>
        <v/>
      </c>
      <c r="D348" s="95">
        <f t="shared" si="126"/>
        <v>0</v>
      </c>
      <c r="E348" s="95">
        <f t="shared" si="127"/>
        <v>0</v>
      </c>
      <c r="G348" s="95" t="str">
        <f>IF(B348=0,"",IF(B348="no pick","No Pick",IF(LEFT(B348,LEN(B$8))=B$8,B$8,C$8)))</f>
        <v>Michon</v>
      </c>
      <c r="H348" s="95" t="str">
        <f t="shared" si="128"/>
        <v>2-0</v>
      </c>
      <c r="I348" s="95" t="str">
        <f>IF(AND(J348=$I$2,F$8=0,NOT(E$8="")),IF(OR(AND(Y348=AA348,Z348=AB348),AND(Y348=AB348,Z348=AA348)),"",IF(AND(Y348=Z348,AA348=AB348),Y348&amp;" +2 v. "&amp;AA348&amp;" +2, ",IF(Y348=AA348,Z348&amp;" v. "&amp;AB348&amp;", ",IF(Z348=AB348,Y348&amp;" v. "&amp;AA348&amp;", ",IF(Y348=AB348,Z348&amp;" v. "&amp;AA348&amp;", ",IF(Z348=AA348,Y348&amp;" v. "&amp;AB348&amp;", ",Y348&amp;" v. "&amp;AA348&amp;", "&amp;Z348&amp;" v. "&amp;AB348&amp;", ")))))),"")</f>
        <v xml:space="preserve">Michon 2-1 v. Michon 2-0, </v>
      </c>
      <c r="J348" s="97">
        <f>D$8</f>
        <v>1</v>
      </c>
      <c r="K348" s="95" t="str">
        <f t="shared" si="129"/>
        <v>PTS</v>
      </c>
      <c r="L348" s="95" t="str">
        <f t="shared" si="130"/>
        <v>76 64</v>
      </c>
      <c r="M348" s="95" t="str">
        <f t="shared" si="131"/>
        <v>76 64</v>
      </c>
      <c r="N348" s="95" t="str">
        <f t="shared" si="132"/>
        <v>76 64</v>
      </c>
      <c r="O348" s="95" t="str">
        <f t="shared" si="133"/>
        <v>76 64</v>
      </c>
      <c r="P348" s="95" t="str">
        <f t="shared" si="134"/>
        <v>76 64</v>
      </c>
      <c r="Q348" s="95">
        <f>IF(AND(G348=T$8,LEN(G348)&gt;1),1,0)</f>
        <v>0</v>
      </c>
      <c r="R348" s="97">
        <f>Doubles!G$8</f>
        <v>7</v>
      </c>
      <c r="S348" s="95">
        <f>IF(AND(H348=H$8,LEN(H348)&gt;1,Q348=1),1,0)</f>
        <v>0</v>
      </c>
      <c r="T348" s="105">
        <f>SUM(Q368:Q391)</f>
        <v>0</v>
      </c>
      <c r="U348" s="97">
        <f>SUM(S368:S391)</f>
        <v>0</v>
      </c>
      <c r="V348" s="97">
        <f>VLOOKUP(7,R342:S365,2,0)</f>
        <v>0</v>
      </c>
      <c r="W348" s="95" t="str">
        <f t="shared" si="135"/>
        <v/>
      </c>
      <c r="X348" s="95">
        <f>IF(F$8=0,IF(AND(G348=G400,NOT(G348=G374),NOT(G348=G426),LEN(W348)&gt;0),2,IF(LEN(W348)=0,0,1)),0)</f>
        <v>0</v>
      </c>
      <c r="Y348" s="95" t="str">
        <f t="shared" si="136"/>
        <v>Michon 2-0</v>
      </c>
      <c r="Z348" s="95" t="str">
        <f t="shared" si="137"/>
        <v>Michon 2-1</v>
      </c>
      <c r="AA348" s="95" t="str">
        <f t="shared" si="138"/>
        <v>Michon 2-0</v>
      </c>
      <c r="AB348" s="95" t="str">
        <f t="shared" si="139"/>
        <v>Michon 2-0</v>
      </c>
      <c r="AC348" s="95" t="str">
        <f>IF(AND(LEN(W348)&gt;0,F$8=0),IF(X348=2,W348&amp;" +2, ",W348&amp;", "),"")</f>
        <v/>
      </c>
    </row>
    <row r="349" spans="1:29">
      <c r="A349" s="95">
        <v>8</v>
      </c>
      <c r="B349" s="95" t="str">
        <f>IF(Doubles!N71="",0,Doubles!N71)</f>
        <v>GONZALEZ 63 64</v>
      </c>
      <c r="C349" s="99" t="str">
        <f>IF(OR(LEFT(B349,LEN(B$9))=B$9,LEFT(B349,LEN(C$9))=C$9,LEN(B349)&lt;2),"",IF(B349="no pick","","Wrong pick"))</f>
        <v/>
      </c>
      <c r="D349" s="95">
        <f t="shared" si="126"/>
        <v>0</v>
      </c>
      <c r="E349" s="95">
        <f t="shared" si="127"/>
        <v>0</v>
      </c>
      <c r="G349" s="95" t="str">
        <f>IF(B349=0,"",IF(B349="no pick","No Pick",IF(LEFT(B349,LEN(B$9))=B$9,B$9,C$9)))</f>
        <v>gonzalez</v>
      </c>
      <c r="H349" s="95" t="str">
        <f t="shared" si="128"/>
        <v>2-0</v>
      </c>
      <c r="I349" s="95" t="str">
        <f>IF(AND(J349=$I$2,F$9=0,NOT(E$9="")),IF(OR(AND(Y349=AA349,Z349=AB349),AND(Y349=AB349,Z349=AA349)),"",IF(AND(Y349=Z349,AA349=AB349),Y349&amp;" +2 v. "&amp;AA349&amp;" +2, ",IF(Y349=AA349,Z349&amp;" v. "&amp;AB349&amp;", ",IF(Z349=AB349,Y349&amp;" v. "&amp;AA349&amp;", ",IF(Y349=AB349,Z349&amp;" v. "&amp;AA349&amp;", ",IF(Z349=AA349,Y349&amp;" v. "&amp;AB349&amp;", ",Y349&amp;" v. "&amp;AA349&amp;", "&amp;Z349&amp;" v. "&amp;AB349&amp;", ")))))),"")</f>
        <v/>
      </c>
      <c r="J349" s="97">
        <f>D$9</f>
        <v>1</v>
      </c>
      <c r="K349" s="95" t="str">
        <f t="shared" si="129"/>
        <v>PTS</v>
      </c>
      <c r="L349" s="95" t="str">
        <f t="shared" si="130"/>
        <v>63 64</v>
      </c>
      <c r="M349" s="95" t="str">
        <f t="shared" si="131"/>
        <v>63 64</v>
      </c>
      <c r="N349" s="95" t="str">
        <f t="shared" si="132"/>
        <v>63 64</v>
      </c>
      <c r="O349" s="95" t="str">
        <f t="shared" si="133"/>
        <v>63 64</v>
      </c>
      <c r="P349" s="95" t="str">
        <f t="shared" si="134"/>
        <v>63 64</v>
      </c>
      <c r="Q349" s="95">
        <f>IF(AND(G349=T$9,LEN(G349)&gt;1),1,0)</f>
        <v>0</v>
      </c>
      <c r="R349" s="97">
        <f>Doubles!G$9</f>
        <v>8</v>
      </c>
      <c r="S349" s="95">
        <f>IF(AND(H349=H$9,LEN(H349)&gt;1,Q349=1),1,0)</f>
        <v>0</v>
      </c>
      <c r="V349" s="97">
        <f>VLOOKUP(8,R342:S365,2,0)</f>
        <v>0</v>
      </c>
      <c r="W349" s="95" t="str">
        <f t="shared" si="135"/>
        <v/>
      </c>
      <c r="X349" s="95">
        <f>IF(F$9=0,IF(AND(G349=G401,NOT(G349=G375),NOT(G349=G427),LEN(W349)&gt;0),2,IF(LEN(W349)=0,0,1)),0)</f>
        <v>0</v>
      </c>
      <c r="Y349" s="95" t="str">
        <f t="shared" si="136"/>
        <v>gonzalez 2-0</v>
      </c>
      <c r="Z349" s="95" t="str">
        <f t="shared" si="137"/>
        <v>gonzalez 2-0</v>
      </c>
      <c r="AA349" s="95" t="str">
        <f t="shared" si="138"/>
        <v>gonzalez 2-0</v>
      </c>
      <c r="AB349" s="95" t="str">
        <f t="shared" si="139"/>
        <v>gonzalez 2-0</v>
      </c>
      <c r="AC349" s="95" t="str">
        <f>IF(AND(LEN(W349)&gt;0,F$9=0),IF(X349=2,W349&amp;" +2, ",W349&amp;", "),"")</f>
        <v/>
      </c>
    </row>
    <row r="350" spans="1:29">
      <c r="A350" s="95">
        <v>9</v>
      </c>
      <c r="B350" s="95" t="str">
        <f>IF(Doubles!N72="",0,Doubles!N72)</f>
        <v>PEREIRA 60 63</v>
      </c>
      <c r="C350" s="99" t="str">
        <f>IF(OR(LEFT(B350,LEN(B$10))=B$10,LEFT(B350,LEN(C$10))=C$10,LEN(B350)&lt;2),"",IF(B350="no pick","","Wrong pick"))</f>
        <v/>
      </c>
      <c r="D350" s="95">
        <f t="shared" si="126"/>
        <v>0</v>
      </c>
      <c r="E350" s="95">
        <f t="shared" si="127"/>
        <v>0</v>
      </c>
      <c r="G350" s="95" t="str">
        <f>IF(B350=0,"",IF(B350="no pick","No Pick",IF(LEFT(B350,LEN(B$10))=B$10,B$10,C$10)))</f>
        <v>pereira</v>
      </c>
      <c r="H350" s="95" t="str">
        <f t="shared" si="128"/>
        <v>2-0</v>
      </c>
      <c r="I350" s="95" t="str">
        <f>IF(AND(J350=$I$2,F$10=0,NOT(E$10="")),IF(OR(AND(Y350=AA350,Z350=AB350),AND(Y350=AB350,Z350=AA350)),"",IF(AND(Y350=Z350,AA350=AB350),Y350&amp;" +2 v. "&amp;AA350&amp;" +2, ",IF(Y350=AA350,Z350&amp;" v. "&amp;AB350&amp;", ",IF(Z350=AB350,Y350&amp;" v. "&amp;AA350&amp;", ",IF(Y350=AB350,Z350&amp;" v. "&amp;AA350&amp;", ",IF(Z350=AA350,Y350&amp;" v. "&amp;AB350&amp;", ",Y350&amp;" v. "&amp;AA350&amp;", "&amp;Z350&amp;" v. "&amp;AB350&amp;", ")))))),"")</f>
        <v/>
      </c>
      <c r="J350" s="97">
        <f>D$10</f>
        <v>1</v>
      </c>
      <c r="K350" s="95" t="str">
        <f t="shared" si="129"/>
        <v>PTS</v>
      </c>
      <c r="L350" s="95" t="str">
        <f t="shared" si="130"/>
        <v>60 63</v>
      </c>
      <c r="M350" s="95" t="str">
        <f t="shared" si="131"/>
        <v>60 63</v>
      </c>
      <c r="N350" s="95" t="str">
        <f t="shared" si="132"/>
        <v>60 63</v>
      </c>
      <c r="O350" s="95" t="str">
        <f t="shared" si="133"/>
        <v>60 63</v>
      </c>
      <c r="P350" s="95" t="str">
        <f t="shared" si="134"/>
        <v>60 63</v>
      </c>
      <c r="Q350" s="95">
        <f>IF(AND(G350=T$10,LEN(G350)&gt;1),1,0)</f>
        <v>0</v>
      </c>
      <c r="R350" s="97">
        <f>Doubles!G$10</f>
        <v>9</v>
      </c>
      <c r="S350" s="95">
        <f>IF(AND(H350=H$10,LEN(H350)&gt;1,Q350=1),1,0)</f>
        <v>0</v>
      </c>
      <c r="T350" s="95" t="e">
        <f>VLOOKUP("Winner",T368:U392,2,0)</f>
        <v>#N/A</v>
      </c>
      <c r="U350" s="95" t="e">
        <f>VLOOKUP(T350,U368:W392,3,0)</f>
        <v>#N/A</v>
      </c>
      <c r="V350" s="97">
        <f>VLOOKUP(9,R342:S365,2,0)</f>
        <v>0</v>
      </c>
      <c r="W350" s="95" t="str">
        <f t="shared" si="135"/>
        <v/>
      </c>
      <c r="X350" s="95">
        <f>IF(F$10=0,IF(AND(G350=G402,NOT(G350=G376),NOT(G350=G428),LEN(W350)&gt;0),2,IF(LEN(W350)=0,0,1)),0)</f>
        <v>0</v>
      </c>
      <c r="Y350" s="95" t="str">
        <f t="shared" si="136"/>
        <v>pereira 2-0</v>
      </c>
      <c r="Z350" s="95" t="str">
        <f t="shared" si="137"/>
        <v>pereira 2-0</v>
      </c>
      <c r="AA350" s="95" t="str">
        <f t="shared" si="138"/>
        <v>pereira 2-0</v>
      </c>
      <c r="AB350" s="95" t="str">
        <f t="shared" si="139"/>
        <v>pereira 2-0</v>
      </c>
      <c r="AC350" s="95" t="str">
        <f>IF(AND(LEN(W350)&gt;0,F$10=0),IF(X350=2,W350&amp;" +2, ",W350&amp;", "),"")</f>
        <v/>
      </c>
    </row>
    <row r="351" spans="1:29">
      <c r="A351" s="95">
        <v>10</v>
      </c>
      <c r="B351" s="95" t="str">
        <f>IF(Doubles!N73="",0,Doubles!N73)</f>
        <v>MATOS 64 46 64</v>
      </c>
      <c r="C351" s="99" t="str">
        <f>IF(OR(LEFT(B351,LEN(B$11))=B$11,LEFT(B351,LEN(C$11))=C$11,LEN(B351)&lt;2),"",IF(B351="no pick","","Wrong pick"))</f>
        <v/>
      </c>
      <c r="D351" s="95">
        <f t="shared" si="126"/>
        <v>1</v>
      </c>
      <c r="E351" s="95">
        <f t="shared" si="127"/>
        <v>0</v>
      </c>
      <c r="G351" s="95" t="str">
        <f>IF(B351=0,"",IF(B351="no pick","No Pick",IF(LEFT(B351,LEN(B$11))=B$11,B$11,C$11)))</f>
        <v>matos</v>
      </c>
      <c r="H351" s="95" t="str">
        <f t="shared" si="128"/>
        <v>2-1</v>
      </c>
      <c r="I351" s="95" t="str">
        <f>IF(AND(J351=$I$2,F$11=0,NOT(E$11="")),IF(OR(AND(Y351=AA351,Z351=AB351),AND(Y351=AB351,Z351=AA351)),"",IF(AND(Y351=Z351,AA351=AB351),Y351&amp;" +2 v. "&amp;AA351&amp;" +2, ",IF(Y351=AA351,Z351&amp;" v. "&amp;AB351&amp;", ",IF(Z351=AB351,Y351&amp;" v. "&amp;AA351&amp;", ",IF(Y351=AB351,Z351&amp;" v. "&amp;AA351&amp;", ",IF(Z351=AA351,Y351&amp;" v. "&amp;AB351&amp;", ",Y351&amp;" v. "&amp;AA351&amp;", "&amp;Z351&amp;" v. "&amp;AB351&amp;", ")))))),"")</f>
        <v xml:space="preserve">matos 2-1 v. collinari 2-0, </v>
      </c>
      <c r="J351" s="97">
        <f>D$11</f>
        <v>1</v>
      </c>
      <c r="K351" s="95" t="str">
        <f t="shared" si="129"/>
        <v>PTS</v>
      </c>
      <c r="L351" s="95" t="str">
        <f t="shared" si="130"/>
        <v>64 46 64</v>
      </c>
      <c r="M351" s="95" t="str">
        <f t="shared" si="131"/>
        <v>64 46 64</v>
      </c>
      <c r="N351" s="95" t="str">
        <f t="shared" si="132"/>
        <v>64 46 64</v>
      </c>
      <c r="O351" s="95" t="str">
        <f t="shared" si="133"/>
        <v>64 46 64</v>
      </c>
      <c r="P351" s="95" t="str">
        <f t="shared" si="134"/>
        <v>64 46 64</v>
      </c>
      <c r="Q351" s="95">
        <f>IF(AND(G351=T$11,LEN(G351)&gt;1),1,0)</f>
        <v>0</v>
      </c>
      <c r="R351" s="97">
        <f>Doubles!G$11</f>
        <v>10</v>
      </c>
      <c r="S351" s="95">
        <f>IF(AND(H351=H$11,LEN(H351)&gt;1,Q351=1),1,0)</f>
        <v>0</v>
      </c>
      <c r="T351" s="97">
        <f>T347+T399</f>
        <v>0</v>
      </c>
      <c r="U351" s="95">
        <f>U347+U399</f>
        <v>0</v>
      </c>
      <c r="V351" s="97">
        <f>VLOOKUP(10,R342:S365,2,0)</f>
        <v>0</v>
      </c>
      <c r="W351" s="95" t="str">
        <f t="shared" si="135"/>
        <v>matos</v>
      </c>
      <c r="X351" s="95">
        <f>IF(F$11=0,IF(AND(G351=G403,NOT(G351=G377),NOT(G351=G429),LEN(W351)&gt;0),2,IF(LEN(W351)=0,0,1)),0)</f>
        <v>1</v>
      </c>
      <c r="Y351" s="95" t="str">
        <f t="shared" si="136"/>
        <v>matos 2-1</v>
      </c>
      <c r="Z351" s="95" t="str">
        <f t="shared" si="137"/>
        <v>collinari 2-0</v>
      </c>
      <c r="AA351" s="95" t="str">
        <f t="shared" si="138"/>
        <v>collinari 2-0</v>
      </c>
      <c r="AB351" s="95" t="str">
        <f t="shared" si="139"/>
        <v>collinari 2-0</v>
      </c>
      <c r="AC351" s="95" t="str">
        <f>IF(AND(LEN(W351)&gt;0,F$11=0),IF(X351=2,W351&amp;" +2, ",W351&amp;", "),"")</f>
        <v xml:space="preserve">matos, </v>
      </c>
    </row>
    <row r="352" spans="1:29">
      <c r="A352" s="95">
        <v>11</v>
      </c>
      <c r="B352" s="95" t="str">
        <f>IF(Doubles!N74="",0,Doubles!N74)</f>
        <v>GINER 63 63</v>
      </c>
      <c r="C352" s="99" t="str">
        <f>IF(OR(LEFT(B352,LEN(B$12))=B$12,LEFT(B352,LEN(C$12))=C$12,LEN(B352)&lt;2),"",IF(B352="no pick","","Wrong pick"))</f>
        <v/>
      </c>
      <c r="D352" s="95">
        <f t="shared" si="126"/>
        <v>0</v>
      </c>
      <c r="E352" s="95">
        <f t="shared" si="127"/>
        <v>0</v>
      </c>
      <c r="G352" s="95" t="str">
        <f>IF(B352=0,"",IF(B352="no pick","No Pick",IF(LEFT(B352,LEN(B$12))=B$12,B$12,C$12)))</f>
        <v>giner</v>
      </c>
      <c r="H352" s="95" t="str">
        <f t="shared" si="128"/>
        <v>2-0</v>
      </c>
      <c r="I352" s="95" t="str">
        <f>IF(AND(J352=$I$2,F$12=0,NOT(E$12="")),IF(OR(AND(Y352=AA352,Z352=AB352),AND(Y352=AB352,Z352=AA352)),"",IF(AND(Y352=Z352,AA352=AB352),Y352&amp;" +2 v. "&amp;AA352&amp;" +2, ",IF(Y352=AA352,Z352&amp;" v. "&amp;AB352&amp;", ",IF(Z352=AB352,Y352&amp;" v. "&amp;AA352&amp;", ",IF(Y352=AB352,Z352&amp;" v. "&amp;AA352&amp;", ",IF(Z352=AA352,Y352&amp;" v. "&amp;AB352&amp;", ",Y352&amp;" v. "&amp;AA352&amp;", "&amp;Z352&amp;" v. "&amp;AB352&amp;", ")))))),"")</f>
        <v/>
      </c>
      <c r="J352" s="97">
        <f>D$12</f>
        <v>1</v>
      </c>
      <c r="K352" s="95" t="str">
        <f t="shared" si="129"/>
        <v>PTS</v>
      </c>
      <c r="L352" s="95" t="str">
        <f t="shared" si="130"/>
        <v>63 63</v>
      </c>
      <c r="M352" s="95" t="str">
        <f t="shared" si="131"/>
        <v>63 63</v>
      </c>
      <c r="N352" s="95" t="str">
        <f t="shared" si="132"/>
        <v>63 63</v>
      </c>
      <c r="O352" s="95" t="str">
        <f t="shared" si="133"/>
        <v>63 63</v>
      </c>
      <c r="P352" s="95" t="str">
        <f t="shared" si="134"/>
        <v>63 63</v>
      </c>
      <c r="Q352" s="95">
        <f>IF(AND(G352=T$12,LEN(G352)&gt;1),1,0)</f>
        <v>0</v>
      </c>
      <c r="R352" s="97">
        <f>Doubles!G$12</f>
        <v>11</v>
      </c>
      <c r="S352" s="95">
        <f>IF(AND(H352=H$12,LEN(H352)&gt;1,Q352=1),1,0)</f>
        <v>0</v>
      </c>
      <c r="T352" s="97">
        <f>T348+T400</f>
        <v>0</v>
      </c>
      <c r="U352" s="95">
        <f>U348+U400</f>
        <v>0</v>
      </c>
      <c r="V352" s="97">
        <f>VLOOKUP(11,R342:S365,2,0)</f>
        <v>0</v>
      </c>
      <c r="W352" s="95" t="str">
        <f t="shared" si="135"/>
        <v/>
      </c>
      <c r="X352" s="95">
        <f>IF(F$12=0,IF(AND(G352=G404,NOT(G352=G378),NOT(G352=G430),LEN(W352)&gt;0),2,IF(LEN(W352)=0,0,1)),0)</f>
        <v>0</v>
      </c>
      <c r="Y352" s="95" t="str">
        <f t="shared" si="136"/>
        <v>giner 2-0</v>
      </c>
      <c r="Z352" s="95" t="str">
        <f t="shared" si="137"/>
        <v>giner 2-0</v>
      </c>
      <c r="AA352" s="95" t="str">
        <f t="shared" si="138"/>
        <v>giner 2-0</v>
      </c>
      <c r="AB352" s="95" t="str">
        <f t="shared" si="139"/>
        <v>giner 2-0</v>
      </c>
      <c r="AC352" s="95" t="str">
        <f>IF(AND(LEN(W352)&gt;0,F$12=0),IF(X352=2,W352&amp;" +2, ",W352&amp;", "),"")</f>
        <v/>
      </c>
    </row>
    <row r="353" spans="1:29">
      <c r="A353" s="95">
        <v>12</v>
      </c>
      <c r="B353" s="95" t="str">
        <f>IF(Doubles!N75="",0,Doubles!N75)</f>
        <v>TURINI 76 76</v>
      </c>
      <c r="C353" s="99" t="str">
        <f>IF(OR(LEFT(B353,LEN(B$13))=B$13,LEFT(B353,LEN(C$13))=C$13,LEN(B353)&lt;2),"",IF(B353="no pick","","Wrong pick"))</f>
        <v/>
      </c>
      <c r="D353" s="95">
        <f t="shared" si="126"/>
        <v>1</v>
      </c>
      <c r="E353" s="95">
        <f t="shared" si="127"/>
        <v>0</v>
      </c>
      <c r="G353" s="95" t="str">
        <f>IF(B353=0,"",IF(B353="no pick","No Pick",IF(LEFT(B353,LEN(B$13))=B$13,B$13,C$13)))</f>
        <v>turini</v>
      </c>
      <c r="H353" s="95" t="str">
        <f t="shared" si="128"/>
        <v>2-0</v>
      </c>
      <c r="I353" s="95" t="str">
        <f>IF(AND(J353=$I$2,F$13=0,NOT(E$13="")),IF(OR(AND(Y353=AA353,Z353=AB353),AND(Y353=AB353,Z353=AA353)),"",IF(AND(Y353=Z353,AA353=AB353),Y353&amp;" +2 v. "&amp;AA353&amp;" +2, ",IF(Y353=AA353,Z353&amp;" v. "&amp;AB353&amp;", ",IF(Z353=AB353,Y353&amp;" v. "&amp;AA353&amp;", ",IF(Y353=AB353,Z353&amp;" v. "&amp;AA353&amp;", ",IF(Z353=AA353,Y353&amp;" v. "&amp;AB353&amp;", ",Y353&amp;" v. "&amp;AA353&amp;", "&amp;Z353&amp;" v. "&amp;AB353&amp;", ")))))),"")</f>
        <v xml:space="preserve">turini 2-0 v. galdon 2-0, turini 2-1 v. galdon 2-0, </v>
      </c>
      <c r="J353" s="97">
        <f>D$13</f>
        <v>1</v>
      </c>
      <c r="K353" s="95" t="str">
        <f t="shared" si="129"/>
        <v>PTS</v>
      </c>
      <c r="L353" s="95" t="str">
        <f t="shared" si="130"/>
        <v>76 76</v>
      </c>
      <c r="M353" s="95" t="str">
        <f t="shared" si="131"/>
        <v>76 76</v>
      </c>
      <c r="N353" s="95" t="str">
        <f t="shared" si="132"/>
        <v>76 76</v>
      </c>
      <c r="O353" s="95" t="str">
        <f t="shared" si="133"/>
        <v>76 76</v>
      </c>
      <c r="P353" s="95" t="str">
        <f t="shared" si="134"/>
        <v>76 76</v>
      </c>
      <c r="Q353" s="95">
        <f>IF(AND(G353=T$13,LEN(G353)&gt;1),1,0)</f>
        <v>0</v>
      </c>
      <c r="R353" s="97">
        <f>Doubles!G$13</f>
        <v>12</v>
      </c>
      <c r="S353" s="95">
        <f>IF(AND(H353=H$13,LEN(H353)&gt;1,Q353=1),1,0)</f>
        <v>0</v>
      </c>
      <c r="V353" s="97">
        <f>VLOOKUP(12,R342:S365,2,0)</f>
        <v>0</v>
      </c>
      <c r="W353" s="95" t="str">
        <f t="shared" si="135"/>
        <v>turini</v>
      </c>
      <c r="X353" s="95">
        <f>IF(F$13=0,IF(AND(G353=G405,NOT(G353=G379),NOT(G353=G431),LEN(W353)&gt;0),2,IF(LEN(W353)=0,0,1)),0)</f>
        <v>2</v>
      </c>
      <c r="Y353" s="95" t="str">
        <f t="shared" si="136"/>
        <v>turini 2-0</v>
      </c>
      <c r="Z353" s="95" t="str">
        <f t="shared" si="137"/>
        <v>turini 2-1</v>
      </c>
      <c r="AA353" s="95" t="str">
        <f t="shared" si="138"/>
        <v>galdon 2-0</v>
      </c>
      <c r="AB353" s="95" t="str">
        <f t="shared" si="139"/>
        <v>galdon 2-0</v>
      </c>
      <c r="AC353" s="95" t="str">
        <f>IF(AND(LEN(W353)&gt;0,F$13=0),IF(X353=2,W353&amp;" +2, ",W353&amp;", "),"")</f>
        <v xml:space="preserve">turini +2, </v>
      </c>
    </row>
    <row r="354" spans="1:29">
      <c r="A354" s="95">
        <v>13</v>
      </c>
      <c r="B354" s="95" t="str">
        <f>IF(Doubles!N76="",0,Doubles!N76)</f>
        <v>LOBKOV 62 62</v>
      </c>
      <c r="C354" s="99" t="str">
        <f>IF(OR(LEFT(B354,LEN(B$14))=B$14,LEFT(B354,LEN(C$14))=C$14,LEN(B354)&lt;2),"",IF(B354="no pick","","Wrong pick"))</f>
        <v/>
      </c>
      <c r="D354" s="95">
        <f t="shared" si="126"/>
        <v>0</v>
      </c>
      <c r="E354" s="95">
        <f t="shared" si="127"/>
        <v>0</v>
      </c>
      <c r="G354" s="95" t="str">
        <f>IF(B354=0,"",IF(B354="no pick","No Pick",IF(LEFT(B354,LEN(B$14))=B$14,B$14,C$14)))</f>
        <v>lobkov</v>
      </c>
      <c r="H354" s="95" t="str">
        <f t="shared" si="128"/>
        <v>2-0</v>
      </c>
      <c r="I354" s="95" t="str">
        <f>IF(AND(J354=$I$2,F$14=0,NOT(E$14="")),IF(OR(AND(Y354=AA354,Z354=AB354),AND(Y354=AB354,Z354=AA354)),"",IF(AND(Y354=Z354,AA354=AB354),Y354&amp;" +2 v. "&amp;AA354&amp;" +2, ",IF(Y354=AA354,Z354&amp;" v. "&amp;AB354&amp;", ",IF(Z354=AB354,Y354&amp;" v. "&amp;AA354&amp;", ",IF(Y354=AB354,Z354&amp;" v. "&amp;AA354&amp;", ",IF(Z354=AA354,Y354&amp;" v. "&amp;AB354&amp;", ",Y354&amp;" v. "&amp;AA354&amp;", "&amp;Z354&amp;" v. "&amp;AB354&amp;", ")))))),"")</f>
        <v/>
      </c>
      <c r="J354" s="97">
        <f>D$14</f>
        <v>1</v>
      </c>
      <c r="K354" s="95" t="str">
        <f t="shared" si="129"/>
        <v>PTS</v>
      </c>
      <c r="L354" s="95" t="str">
        <f t="shared" si="130"/>
        <v>62 62</v>
      </c>
      <c r="M354" s="95" t="str">
        <f t="shared" si="131"/>
        <v>62 62</v>
      </c>
      <c r="N354" s="95" t="str">
        <f t="shared" si="132"/>
        <v>62 62</v>
      </c>
      <c r="O354" s="95" t="str">
        <f t="shared" si="133"/>
        <v>62 62</v>
      </c>
      <c r="P354" s="95" t="str">
        <f t="shared" si="134"/>
        <v>62 62</v>
      </c>
      <c r="Q354" s="95">
        <f>IF(AND(G354=T$14,LEN(G354)&gt;1),1,0)</f>
        <v>0</v>
      </c>
      <c r="R354" s="97">
        <f>Doubles!G$14</f>
        <v>13</v>
      </c>
      <c r="S354" s="95">
        <f>IF(AND(H354=H$14,LEN(H354)&gt;1,Q354=1),1,0)</f>
        <v>0</v>
      </c>
      <c r="V354" s="97">
        <f>VLOOKUP(13,R342:S365,2,0)</f>
        <v>0</v>
      </c>
      <c r="W354" s="95" t="str">
        <f t="shared" si="135"/>
        <v/>
      </c>
      <c r="X354" s="95">
        <f>IF(F$14=0,IF(AND(G354=G406,NOT(G354=G380),NOT(G354=G432),LEN(W354)&gt;0),2,IF(LEN(W354)=0,0,1)),0)</f>
        <v>0</v>
      </c>
      <c r="Y354" s="95" t="str">
        <f t="shared" si="136"/>
        <v>lobkov 2-0</v>
      </c>
      <c r="Z354" s="95" t="str">
        <f t="shared" si="137"/>
        <v>lobkov 2-0</v>
      </c>
      <c r="AA354" s="95" t="str">
        <f t="shared" si="138"/>
        <v>lobkov 2-0</v>
      </c>
      <c r="AB354" s="95" t="str">
        <f t="shared" si="139"/>
        <v>lobkov 2-0</v>
      </c>
      <c r="AC354" s="95" t="str">
        <f>IF(AND(LEN(W354)&gt;0,F$14=0),IF(X354=2,W354&amp;" +2, ",W354&amp;", "),"")</f>
        <v/>
      </c>
    </row>
    <row r="355" spans="1:29">
      <c r="A355" s="95">
        <v>14</v>
      </c>
      <c r="B355" s="95" t="str">
        <f>IF(Doubles!N77="",0,Doubles!N77)</f>
        <v>FLIGIA 64 64</v>
      </c>
      <c r="C355" s="99" t="str">
        <f>IF(OR(LEFT(B355,LEN(B$15))=B$15,LEFT(B355,LEN(C$15))=C$15,LEN(B355)&lt;2),"",IF(B355="no pick","","Wrong pick"))</f>
        <v/>
      </c>
      <c r="D355" s="95">
        <f t="shared" si="126"/>
        <v>1</v>
      </c>
      <c r="E355" s="95">
        <f t="shared" si="127"/>
        <v>0</v>
      </c>
      <c r="G355" s="95" t="str">
        <f>IF(B355=0,"",IF(B355="no pick","No Pick",IF(LEFT(B355,LEN(B$15))=B$15,B$15,C$15)))</f>
        <v>Fligia</v>
      </c>
      <c r="H355" s="95" t="str">
        <f t="shared" si="128"/>
        <v>2-0</v>
      </c>
      <c r="I355" s="95" t="str">
        <f>IF(AND(J355=$I$2,F$15=0,NOT(E$15="")),IF(OR(AND(Y355=AA355,Z355=AB355),AND(Y355=AB355,Z355=AA355)),"",IF(AND(Y355=Z355,AA355=AB355),Y355&amp;" +2 v. "&amp;AA355&amp;" +2, ",IF(Y355=AA355,Z355&amp;" v. "&amp;AB355&amp;", ",IF(Z355=AB355,Y355&amp;" v. "&amp;AA355&amp;", ",IF(Y355=AB355,Z355&amp;" v. "&amp;AA355&amp;", ",IF(Z355=AA355,Y355&amp;" v. "&amp;AB355&amp;", ",Y355&amp;" v. "&amp;AA355&amp;", "&amp;Z355&amp;" v. "&amp;AB355&amp;", ")))))),"")</f>
        <v xml:space="preserve">Fligia 2-0 v. santos 2-0, santos 2-1 v. santos 2-0, </v>
      </c>
      <c r="J355" s="97">
        <f>D$15</f>
        <v>1</v>
      </c>
      <c r="K355" s="95" t="str">
        <f t="shared" si="129"/>
        <v>PTS</v>
      </c>
      <c r="L355" s="95" t="str">
        <f t="shared" si="130"/>
        <v>64 64</v>
      </c>
      <c r="M355" s="95" t="str">
        <f t="shared" si="131"/>
        <v>64 64</v>
      </c>
      <c r="N355" s="95" t="str">
        <f t="shared" si="132"/>
        <v>64 64</v>
      </c>
      <c r="O355" s="95" t="str">
        <f t="shared" si="133"/>
        <v>64 64</v>
      </c>
      <c r="P355" s="95" t="str">
        <f t="shared" si="134"/>
        <v>64 64</v>
      </c>
      <c r="Q355" s="95">
        <f>IF(AND(G355=T$15,LEN(G355)&gt;1),1,0)</f>
        <v>0</v>
      </c>
      <c r="R355" s="97">
        <f>Doubles!G$15</f>
        <v>14</v>
      </c>
      <c r="S355" s="95">
        <f>IF(AND(H355=H$15,LEN(H355)&gt;1,Q355=1),1,0)</f>
        <v>0</v>
      </c>
      <c r="T355" s="95" t="s">
        <v>127</v>
      </c>
      <c r="U355" s="95" t="str">
        <f>IF(Doubles!$D$22=$F$26,IF(T351&gt;T352,B341&amp;"/"&amp;B393,IF(T351&lt;T352,B367&amp;"/"&amp;B419,IF(U351&gt;U352,B341&amp;"/"&amp;B393,IF(U351&lt;U352,B367&amp;"/"&amp;B419,"Tied, see shootout")))),"No decision yet")</f>
        <v>No decision yet</v>
      </c>
      <c r="V355" s="97">
        <f>VLOOKUP(14,R342:S365,2,0)</f>
        <v>0</v>
      </c>
      <c r="W355" s="95" t="str">
        <f t="shared" si="135"/>
        <v>Fligia</v>
      </c>
      <c r="X355" s="95">
        <f>IF(F$15=0,IF(AND(G355=G407,NOT(G355=G381),NOT(G355=G433),LEN(W355)&gt;0),2,IF(LEN(W355)=0,0,1)),0)</f>
        <v>1</v>
      </c>
      <c r="Y355" s="95" t="str">
        <f t="shared" si="136"/>
        <v>Fligia 2-0</v>
      </c>
      <c r="Z355" s="95" t="str">
        <f t="shared" si="137"/>
        <v>santos 2-1</v>
      </c>
      <c r="AA355" s="95" t="str">
        <f t="shared" si="138"/>
        <v>santos 2-0</v>
      </c>
      <c r="AB355" s="95" t="str">
        <f t="shared" si="139"/>
        <v>santos 2-0</v>
      </c>
      <c r="AC355" s="95" t="str">
        <f>IF(AND(LEN(W355)&gt;0,F$15=0),IF(X355=2,W355&amp;" +2, ",W355&amp;", "),"")</f>
        <v xml:space="preserve">Fligia, </v>
      </c>
    </row>
    <row r="356" spans="1:29">
      <c r="A356" s="95">
        <v>15</v>
      </c>
      <c r="B356" s="95" t="str">
        <f>IF(Doubles!N78="",0,Doubles!N78)</f>
        <v>SANTOS 63 63</v>
      </c>
      <c r="C356" s="99" t="str">
        <f>IF(OR(LEFT(B356,LEN(B$16))=B$16,LEFT(B356,LEN(C$16))=C$16,LEN(B356)&lt;2),"",IF(B356="no pick","","Wrong pick"))</f>
        <v/>
      </c>
      <c r="D356" s="95">
        <f t="shared" si="126"/>
        <v>0</v>
      </c>
      <c r="E356" s="95">
        <f t="shared" si="127"/>
        <v>0</v>
      </c>
      <c r="G356" s="95" t="str">
        <f>IF(B356=0,"",IF(B356="no pick","No Pick",IF(LEFT(B356,LEN(B$16))=B$16,B$16,C$16)))</f>
        <v>santos</v>
      </c>
      <c r="H356" s="95" t="str">
        <f t="shared" si="128"/>
        <v>2-0</v>
      </c>
      <c r="I356" s="95" t="str">
        <f>IF(AND(J356=$I$2,F$16=0,NOT(E$16="")),IF(OR(AND(Y356=AA356,Z356=AB356),AND(Y356=AB356,Z356=AA356)),"",IF(AND(Y356=Z356,AA356=AB356),Y356&amp;" +2 v. "&amp;AA356&amp;" +2, ",IF(Y356=AA356,Z356&amp;" v. "&amp;AB356&amp;", ",IF(Z356=AB356,Y356&amp;" v. "&amp;AA356&amp;", ",IF(Y356=AB356,Z356&amp;" v. "&amp;AA356&amp;", ",IF(Z356=AA356,Y356&amp;" v. "&amp;AB356&amp;", ",Y356&amp;" v. "&amp;AA356&amp;", "&amp;Z356&amp;" v. "&amp;AB356&amp;", ")))))),"")</f>
        <v/>
      </c>
      <c r="J356" s="97">
        <f>D$16</f>
        <v>1</v>
      </c>
      <c r="K356" s="95" t="str">
        <f t="shared" si="129"/>
        <v>PTS</v>
      </c>
      <c r="L356" s="95" t="str">
        <f t="shared" si="130"/>
        <v>63 63</v>
      </c>
      <c r="M356" s="95" t="str">
        <f t="shared" si="131"/>
        <v>63 63</v>
      </c>
      <c r="N356" s="95" t="str">
        <f t="shared" si="132"/>
        <v>63 63</v>
      </c>
      <c r="O356" s="95" t="str">
        <f t="shared" si="133"/>
        <v>63 63</v>
      </c>
      <c r="P356" s="95" t="str">
        <f t="shared" si="134"/>
        <v>63 63</v>
      </c>
      <c r="Q356" s="95">
        <f>IF(AND(G356=T$16,LEN(G356)&gt;1),1,0)</f>
        <v>0</v>
      </c>
      <c r="R356" s="97">
        <f>Doubles!G$16</f>
        <v>15</v>
      </c>
      <c r="S356" s="95">
        <f>IF(AND(H356=H$16,LEN(H356)&gt;1,Q356=1),1,0)</f>
        <v>0</v>
      </c>
      <c r="T356" s="95" t="s">
        <v>128</v>
      </c>
      <c r="U356" s="95" t="str">
        <f>IF(T351&lt;10,"0","")&amp;T351&amp;":"&amp;IF(T352&lt;10,"0","")&amp;T352&amp;" | "&amp;IF(AND(A341&gt;0,A341&lt;33,B341&amp;"/"&amp;B393=U355),"[b][color=Blue]"&amp;T341&amp;"/"&amp;T393&amp;" ("&amp;D341&amp;"/"&amp;D393&amp;")[/color][/b]",IF(B341&amp;"/"&amp;B393=U355,"[color=Blue]"&amp;T341&amp;"/"&amp;T393&amp;" ("&amp;D341&amp;"/"&amp;D393&amp;")[/color]",IF(AND(A341&gt;0,A341&lt;33),"[b]"&amp;T341&amp;"/"&amp;T393&amp;" ("&amp;D341&amp;"/"&amp;D393&amp;")[/b]",T341&amp;"/"&amp;T393&amp;IF(LEN(D341)&gt;1," ("&amp;D341&amp;"/"&amp;D393&amp;")",""))))&amp;" vs. "&amp;IF(AND(A367&gt;0,A367&lt;33,B367&amp;"/"&amp;B419=U355),"[b][color=Blue]"&amp;T367&amp;"/"&amp;T419&amp;" ("&amp;D367&amp;"/"&amp;D419&amp;")[/color][/b]",IF(B367&amp;"/"&amp;B419=U355,"[color=Blue]"&amp;T367&amp;"/"&amp;T419&amp;" ("&amp;D367&amp;"/"&amp;D419&amp;")[/color]",IF(AND(A367&gt;0,A367&lt;33),"[b]"&amp;T367&amp;"/"&amp;T419&amp;" ("&amp;D367&amp;"/"&amp;D419&amp;")[/b]",T367&amp;"/"&amp;T419&amp;IF(LEN(D367)&gt;1," ("&amp;D367&amp;"/"&amp;D419&amp;")",""))))&amp;IF(OR(Doubles!$D$25="yes",T351=T352)," #SRs: "&amp;U351&amp;"-"&amp;U352,"")</f>
        <v>00:00 | Lazyking/Southend Aussies (USA/AUS) vs. [b](3) Sauletekis/theKSHE (POR/POR)[/b] #SRs: 0-0</v>
      </c>
      <c r="V356" s="97">
        <f>VLOOKUP(15,R342:S365,2,0)</f>
        <v>0</v>
      </c>
      <c r="W356" s="95" t="str">
        <f t="shared" si="135"/>
        <v/>
      </c>
      <c r="X356" s="95">
        <f>IF(F$16=0,IF(AND(G356=G408,NOT(G356=G382),NOT(G356=G434),LEN(W356)&gt;0),2,IF(LEN(W356)=0,0,1)),0)</f>
        <v>0</v>
      </c>
      <c r="Y356" s="95" t="str">
        <f t="shared" si="136"/>
        <v>santos 2-0</v>
      </c>
      <c r="Z356" s="95" t="str">
        <f t="shared" si="137"/>
        <v>santos 2-0</v>
      </c>
      <c r="AA356" s="95" t="str">
        <f t="shared" si="138"/>
        <v>santos 2-0</v>
      </c>
      <c r="AB356" s="95" t="str">
        <f t="shared" si="139"/>
        <v>santos 2-0</v>
      </c>
      <c r="AC356" s="95" t="str">
        <f>IF(AND(LEN(W356)&gt;0,F$16=0),IF(X356=2,W356&amp;" +2, ",W356&amp;", "),"")</f>
        <v/>
      </c>
    </row>
    <row r="357" spans="1:29">
      <c r="A357" s="95">
        <v>16</v>
      </c>
      <c r="B357" s="95" t="str">
        <f>IF(Doubles!N79="",0,Doubles!N79)</f>
        <v>LOJDA 64 61</v>
      </c>
      <c r="C357" s="99" t="str">
        <f>IF(OR(LEFT(B357,LEN(B$17))=B$17,LEFT(B357,LEN(C$17))=C$17,LEN(B357)&lt;2),"",IF(B357="no pick","","Wrong pick"))</f>
        <v/>
      </c>
      <c r="D357" s="95">
        <f t="shared" si="126"/>
        <v>0</v>
      </c>
      <c r="E357" s="95">
        <f t="shared" si="127"/>
        <v>0</v>
      </c>
      <c r="G357" s="95" t="str">
        <f>IF(B357=0,"",IF(B357="no pick","No Pick",IF(LEFT(B357,LEN(B$17))=B$17,B$17,C$17)))</f>
        <v>lojda</v>
      </c>
      <c r="H357" s="95" t="str">
        <f t="shared" si="128"/>
        <v>2-0</v>
      </c>
      <c r="I357" s="95" t="str">
        <f>IF(AND(J357=$I$2,F$17=0,NOT(E$17="")),IF(OR(AND(Y357=AA357,Z357=AB357),AND(Y357=AB357,Z357=AA357)),"",IF(AND(Y357=Z357,AA357=AB357),Y357&amp;" +2 v. "&amp;AA357&amp;" +2, ",IF(Y357=AA357,Z357&amp;" v. "&amp;AB357&amp;", ",IF(Z357=AB357,Y357&amp;" v. "&amp;AA357&amp;", ",IF(Y357=AB357,Z357&amp;" v. "&amp;AA357&amp;", ",IF(Z357=AA357,Y357&amp;" v. "&amp;AB357&amp;", ",Y357&amp;" v. "&amp;AA357&amp;", "&amp;Z357&amp;" v. "&amp;AB357&amp;", ")))))),"")</f>
        <v/>
      </c>
      <c r="J357" s="97">
        <f>D$17</f>
        <v>1</v>
      </c>
      <c r="K357" s="95" t="str">
        <f t="shared" si="129"/>
        <v>PTS</v>
      </c>
      <c r="L357" s="95" t="str">
        <f t="shared" si="130"/>
        <v>64 61</v>
      </c>
      <c r="M357" s="95" t="str">
        <f t="shared" si="131"/>
        <v>64 61</v>
      </c>
      <c r="N357" s="95" t="str">
        <f t="shared" si="132"/>
        <v>64 61</v>
      </c>
      <c r="O357" s="95" t="str">
        <f t="shared" si="133"/>
        <v>64 61</v>
      </c>
      <c r="P357" s="95" t="str">
        <f t="shared" si="134"/>
        <v>64 61</v>
      </c>
      <c r="Q357" s="95">
        <f>IF(AND(G357=T$17,LEN(G357)&gt;1),1,0)</f>
        <v>0</v>
      </c>
      <c r="R357" s="97">
        <f>Doubles!G$17</f>
        <v>16</v>
      </c>
      <c r="S357" s="95">
        <f>IF(AND(H357=H$17,LEN(H357)&gt;1,Q357=1),1,0)</f>
        <v>0</v>
      </c>
      <c r="V357" s="97">
        <f>VLOOKUP(16,R342:S365,2,0)</f>
        <v>0</v>
      </c>
      <c r="W357" s="95" t="str">
        <f t="shared" si="135"/>
        <v/>
      </c>
      <c r="X357" s="95">
        <f>IF(F$17=0,IF(AND(G357=G409,NOT(G357=G383),NOT(G357=G435),LEN(W357)&gt;0),2,IF(LEN(W357)=0,0,1)),0)</f>
        <v>0</v>
      </c>
      <c r="Y357" s="95" t="str">
        <f t="shared" si="136"/>
        <v>lojda 2-0</v>
      </c>
      <c r="Z357" s="95" t="str">
        <f t="shared" si="137"/>
        <v>lojda 2-0</v>
      </c>
      <c r="AA357" s="95" t="str">
        <f t="shared" si="138"/>
        <v>lojda 2-0</v>
      </c>
      <c r="AB357" s="95" t="str">
        <f t="shared" si="139"/>
        <v>lojda 2-0</v>
      </c>
      <c r="AC357" s="95" t="str">
        <f>IF(AND(LEN(W357)&gt;0,F$17=0),IF(X357=2,W357&amp;" +2, ",W357&amp;", "),"")</f>
        <v/>
      </c>
    </row>
    <row r="358" spans="1:29">
      <c r="A358" s="95">
        <v>17</v>
      </c>
      <c r="B358" s="95">
        <f>IF(Doubles!N80="",0,Doubles!N80)</f>
        <v>0</v>
      </c>
      <c r="C358" s="99" t="str">
        <f>IF(OR(LEFT(B358,LEN(B$18))=B$18,LEFT(B358,LEN(C$18))=C$18,LEN(B358)&lt;2),"",IF(B358="no pick","","Wrong pick"))</f>
        <v/>
      </c>
      <c r="D358" s="95">
        <f t="shared" si="126"/>
        <v>0</v>
      </c>
      <c r="E358" s="95">
        <f t="shared" si="127"/>
        <v>0</v>
      </c>
      <c r="G358" s="95" t="str">
        <f>IF(B358=0,"",IF(B358="no pick","No Pick",IF(LEFT(B358,LEN(B$18))=B$18,B$18,C$18)))</f>
        <v/>
      </c>
      <c r="H358" s="95" t="str">
        <f t="shared" si="128"/>
        <v>0-0</v>
      </c>
      <c r="I358" s="95" t="str">
        <f>IF(AND(J358=$I$2,F$18=0,NOT(E$18="")),IF(OR(AND(Y358=AA358,Z358=AB358),AND(Y358=AB358,Z358=AA358)),"",IF(AND(Y358=Z358,AA358=AB358),Y358&amp;" +2 v. "&amp;AA358&amp;" +2, ",IF(Y358=AA358,Z358&amp;" v. "&amp;AB358&amp;", ",IF(Z358=AB358,Y358&amp;" v. "&amp;AA358&amp;", ",IF(Y358=AB358,Z358&amp;" v. "&amp;AA358&amp;", ",IF(Z358=AA358,Y358&amp;" v. "&amp;AB358&amp;", ",Y358&amp;" v. "&amp;AA358&amp;", "&amp;Z358&amp;" v. "&amp;AB358&amp;", ")))))),"")</f>
        <v/>
      </c>
      <c r="J358" s="95">
        <f>D$18</f>
        <v>0</v>
      </c>
      <c r="K358" s="95" t="str">
        <f t="shared" si="129"/>
        <v>SR</v>
      </c>
      <c r="L358" s="95" t="str">
        <f t="shared" si="130"/>
        <v>0</v>
      </c>
      <c r="M358" s="95" t="str">
        <f t="shared" si="131"/>
        <v>0</v>
      </c>
      <c r="N358" s="95" t="str">
        <f t="shared" si="132"/>
        <v>0</v>
      </c>
      <c r="O358" s="95" t="str">
        <f t="shared" si="133"/>
        <v>0</v>
      </c>
      <c r="P358" s="95" t="str">
        <f t="shared" si="134"/>
        <v>0</v>
      </c>
      <c r="Q358" s="95">
        <f>IF(AND(G358=T$18,LEN(G358)&gt;1),1,0)</f>
        <v>0</v>
      </c>
      <c r="R358" s="97">
        <f>Doubles!G$18</f>
        <v>17</v>
      </c>
      <c r="S358" s="95">
        <f>IF(AND(H358=H$18,LEN(H358)&gt;1,Q358=1),1,0)</f>
        <v>0</v>
      </c>
      <c r="T358" s="95" t="str">
        <f>IF(Doubles!$D$22=$F$26,IF(T351&gt;T352,B341,IF(T351&lt;T352,B367,IF(U351&gt;U352,B341,IF(U351&lt;U352,B367,"")))),"")</f>
        <v/>
      </c>
      <c r="U358" s="95" t="str">
        <f>IF(Doubles!$D$22=$F$26,IF(T351&gt;T352,B393,IF(T351&lt;T352,B419,IF(U351&gt;U352,B393,IF(U351&lt;U352,B419,"")))),"")</f>
        <v/>
      </c>
      <c r="V358" s="95">
        <f>VLOOKUP(17,R342:S365,2,0)</f>
        <v>0</v>
      </c>
      <c r="W358" s="95" t="str">
        <f t="shared" si="135"/>
        <v/>
      </c>
      <c r="X358" s="95">
        <f>IF(F$18=0,IF(AND(G358=G410,NOT(G358=G384),NOT(G358=G436),LEN(W358)&gt;0),2,IF(LEN(W358)=0,0,1)),0)</f>
        <v>0</v>
      </c>
      <c r="Y358" s="95" t="str">
        <f t="shared" si="136"/>
        <v xml:space="preserve"> 0-0</v>
      </c>
      <c r="Z358" s="95" t="str">
        <f t="shared" si="137"/>
        <v xml:space="preserve"> 0-0</v>
      </c>
      <c r="AA358" s="95" t="str">
        <f t="shared" si="138"/>
        <v xml:space="preserve"> 0-0</v>
      </c>
      <c r="AB358" s="95" t="str">
        <f t="shared" si="139"/>
        <v xml:space="preserve"> 0-0</v>
      </c>
      <c r="AC358" s="95" t="str">
        <f>IF(AND(LEN(W358)&gt;0,F$18=0),IF(X358=2,W358&amp;" +2, ",W358&amp;", "),"")</f>
        <v/>
      </c>
    </row>
    <row r="359" spans="1:29">
      <c r="A359" s="95">
        <v>18</v>
      </c>
      <c r="B359" s="95">
        <f>IF(Doubles!N81="",0,Doubles!N81)</f>
        <v>0</v>
      </c>
      <c r="C359" s="99" t="str">
        <f>IF(OR(LEFT(B359,LEN(B$19))=B$19,LEFT(B359,LEN(C$19))=C$19,LEN(B359)&lt;2),"",IF(B359="no pick","","Wrong pick"))</f>
        <v/>
      </c>
      <c r="D359" s="95">
        <f t="shared" si="126"/>
        <v>0</v>
      </c>
      <c r="E359" s="95">
        <f t="shared" si="127"/>
        <v>0</v>
      </c>
      <c r="G359" s="95" t="str">
        <f>IF(B359=0,"",IF(B359="no pick","No Pick",IF(LEFT(B359,LEN(B$19))=B$19,B$19,C$19)))</f>
        <v/>
      </c>
      <c r="H359" s="95" t="str">
        <f t="shared" si="128"/>
        <v>0-0</v>
      </c>
      <c r="I359" s="95" t="str">
        <f>IF(AND(J359=$I$2,F$19=0,NOT(E$19="")),IF(OR(AND(Y359=AA359,Z359=AB359),AND(Y359=AB359,Z359=AA359)),"",IF(AND(Y359=Z359,AA359=AB359),Y359&amp;" +2 v. "&amp;AA359&amp;" +2, ",IF(Y359=AA359,Z359&amp;" v. "&amp;AB359&amp;", ",IF(Z359=AB359,Y359&amp;" v. "&amp;AA359&amp;", ",IF(Y359=AB359,Z359&amp;" v. "&amp;AA359&amp;", ",IF(Z359=AA359,Y359&amp;" v. "&amp;AB359&amp;", ",Y359&amp;" v. "&amp;AA359&amp;", "&amp;Z359&amp;" v. "&amp;AB359&amp;", ")))))),"")</f>
        <v/>
      </c>
      <c r="J359" s="95">
        <f>D$19</f>
        <v>0</v>
      </c>
      <c r="K359" s="95" t="str">
        <f t="shared" si="129"/>
        <v>SR</v>
      </c>
      <c r="L359" s="95" t="str">
        <f t="shared" si="130"/>
        <v>0</v>
      </c>
      <c r="M359" s="95" t="str">
        <f t="shared" si="131"/>
        <v>0</v>
      </c>
      <c r="N359" s="95" t="str">
        <f t="shared" si="132"/>
        <v>0</v>
      </c>
      <c r="O359" s="95" t="str">
        <f t="shared" si="133"/>
        <v>0</v>
      </c>
      <c r="P359" s="95" t="str">
        <f t="shared" si="134"/>
        <v>0</v>
      </c>
      <c r="Q359" s="95">
        <f>IF(AND(G359=T$19,LEN(G359)&gt;1),1,0)</f>
        <v>0</v>
      </c>
      <c r="R359" s="97">
        <f>Doubles!G$19</f>
        <v>18</v>
      </c>
      <c r="S359" s="95">
        <f>IF(AND(H359=H$19,LEN(H359)&gt;1,Q359=1),1,0)</f>
        <v>0</v>
      </c>
      <c r="V359" s="97">
        <f>VLOOKUP(18,R342:S365,2,0)</f>
        <v>0</v>
      </c>
      <c r="W359" s="95" t="str">
        <f t="shared" si="135"/>
        <v/>
      </c>
      <c r="X359" s="95">
        <f>IF(F$19=0,IF(AND(G359=G411,NOT(G359=G385),NOT(G359=G437),LEN(W359)&gt;0),2,IF(LEN(W359)=0,0,1)),0)</f>
        <v>0</v>
      </c>
      <c r="Y359" s="95" t="str">
        <f t="shared" si="136"/>
        <v xml:space="preserve"> 0-0</v>
      </c>
      <c r="Z359" s="95" t="str">
        <f t="shared" si="137"/>
        <v xml:space="preserve"> 0-0</v>
      </c>
      <c r="AA359" s="95" t="str">
        <f t="shared" si="138"/>
        <v xml:space="preserve"> 0-0</v>
      </c>
      <c r="AB359" s="95" t="str">
        <f t="shared" si="139"/>
        <v xml:space="preserve"> 0-0</v>
      </c>
      <c r="AC359" s="95" t="str">
        <f>IF(AND(LEN(W359)&gt;0,F$19=0),IF(X359=2,W359&amp;" +2, ",W359&amp;", "),"")</f>
        <v/>
      </c>
    </row>
    <row r="360" spans="1:29">
      <c r="A360" s="95">
        <v>19</v>
      </c>
      <c r="B360" s="95">
        <f>IF(Doubles!N82="",0,Doubles!N82)</f>
        <v>0</v>
      </c>
      <c r="C360" s="99" t="str">
        <f>IF(OR(LEFT(B360,LEN(B$20))=B$20,LEFT(B360,LEN(C$20))=C$20,LEN(B360)&lt;2),"",IF(B360="no pick","","Wrong pick"))</f>
        <v/>
      </c>
      <c r="D360" s="95">
        <f t="shared" si="126"/>
        <v>0</v>
      </c>
      <c r="E360" s="95">
        <f t="shared" si="127"/>
        <v>0</v>
      </c>
      <c r="G360" s="95" t="str">
        <f>IF(B360=0,"",IF(B360="no pick","No Pick",IF(LEFT(B360,LEN(B$20))=B$20,B$20,C$20)))</f>
        <v/>
      </c>
      <c r="H360" s="95" t="str">
        <f t="shared" si="128"/>
        <v>0-0</v>
      </c>
      <c r="I360" s="95" t="str">
        <f>IF(AND(J360=$I$2,F$20=0,NOT(E$20="")),IF(OR(AND(Y360=AA360,Z360=AB360),AND(Y360=AB360,Z360=AA360)),"",IF(AND(Y360=Z360,AA360=AB360),Y360&amp;" +2 v. "&amp;AA360&amp;" +2, ",IF(Y360=AA360,Z360&amp;" v. "&amp;AB360&amp;", ",IF(Z360=AB360,Y360&amp;" v. "&amp;AA360&amp;", ",IF(Y360=AB360,Z360&amp;" v. "&amp;AA360&amp;", ",IF(Z360=AA360,Y360&amp;" v. "&amp;AB360&amp;", ",Y360&amp;" v. "&amp;AA360&amp;", "&amp;Z360&amp;" v. "&amp;AB360&amp;", ")))))),"")</f>
        <v/>
      </c>
      <c r="J360" s="95">
        <f>D$20</f>
        <v>0</v>
      </c>
      <c r="K360" s="95" t="str">
        <f t="shared" si="129"/>
        <v>SR</v>
      </c>
      <c r="L360" s="95" t="str">
        <f t="shared" si="130"/>
        <v>0</v>
      </c>
      <c r="M360" s="95" t="str">
        <f t="shared" si="131"/>
        <v>0</v>
      </c>
      <c r="N360" s="95" t="str">
        <f t="shared" si="132"/>
        <v>0</v>
      </c>
      <c r="O360" s="95" t="str">
        <f t="shared" si="133"/>
        <v>0</v>
      </c>
      <c r="P360" s="95" t="str">
        <f t="shared" si="134"/>
        <v>0</v>
      </c>
      <c r="Q360" s="95">
        <f>IF(AND(G360=T$20,LEN(G360)&gt;1),1,0)</f>
        <v>0</v>
      </c>
      <c r="R360" s="97">
        <f>Doubles!G$20</f>
        <v>19</v>
      </c>
      <c r="S360" s="95">
        <f>IF(AND(H360=H$20,LEN(H360)&gt;1,Q360=1),1,0)</f>
        <v>0</v>
      </c>
      <c r="V360" s="97">
        <f>VLOOKUP(19,R342:S365,2,0)</f>
        <v>0</v>
      </c>
      <c r="W360" s="95" t="str">
        <f t="shared" si="135"/>
        <v/>
      </c>
      <c r="X360" s="95">
        <f>IF(F$20=0,IF(AND(G360=G412,NOT(G360=G386),NOT(G360=G438),LEN(W360)&gt;0),2,IF(LEN(W360)=0,0,1)),0)</f>
        <v>0</v>
      </c>
      <c r="Y360" s="95" t="str">
        <f t="shared" si="136"/>
        <v xml:space="preserve"> 0-0</v>
      </c>
      <c r="Z360" s="95" t="str">
        <f t="shared" si="137"/>
        <v xml:space="preserve"> 0-0</v>
      </c>
      <c r="AA360" s="95" t="str">
        <f t="shared" si="138"/>
        <v xml:space="preserve"> 0-0</v>
      </c>
      <c r="AB360" s="95" t="str">
        <f t="shared" si="139"/>
        <v xml:space="preserve"> 0-0</v>
      </c>
      <c r="AC360" s="95" t="str">
        <f>IF(AND(LEN(W360)&gt;0,F$20=0),IF(X360=2,W360&amp;" +2, ",W360&amp;", "),"")</f>
        <v/>
      </c>
    </row>
    <row r="361" spans="1:29">
      <c r="A361" s="95">
        <v>20</v>
      </c>
      <c r="B361" s="95">
        <f>IF(Doubles!N83="",0,Doubles!N83)</f>
        <v>0</v>
      </c>
      <c r="C361" s="99" t="str">
        <f>IF(OR(LEFT(B361,LEN(B$21))=B$21,LEFT(B361,LEN(C$21))=C$21,LEN(B361)&lt;2),"",IF(B361="no pick","","Wrong pick"))</f>
        <v/>
      </c>
      <c r="D361" s="95">
        <f t="shared" si="126"/>
        <v>0</v>
      </c>
      <c r="E361" s="95">
        <f t="shared" si="127"/>
        <v>0</v>
      </c>
      <c r="G361" s="95" t="str">
        <f>IF(B361=0,"",IF(B361="no pick","No Pick",IF(LEFT(B361,LEN(B$21))=B$21,B$21,C$21)))</f>
        <v/>
      </c>
      <c r="H361" s="95" t="str">
        <f t="shared" si="128"/>
        <v>0-0</v>
      </c>
      <c r="I361" s="95" t="str">
        <f>IF(AND(J361=$I$2,F$21=0,NOT(E$21="")),IF(OR(AND(Y361=AA361,Z361=AB361),AND(Y361=AB361,Z361=AA361)),"",IF(AND(Y361=Z361,AA361=AB361),Y361&amp;" +2 v. "&amp;AA361&amp;" +2, ",IF(Y361=AA361,Z361&amp;" v. "&amp;AB361&amp;", ",IF(Z361=AB361,Y361&amp;" v. "&amp;AA361&amp;", ",IF(Y361=AB361,Z361&amp;" v. "&amp;AA361&amp;", ",IF(Z361=AA361,Y361&amp;" v. "&amp;AB361&amp;", ",Y361&amp;" v. "&amp;AA361&amp;", "&amp;Z361&amp;" v. "&amp;AB361&amp;", ")))))),"")</f>
        <v/>
      </c>
      <c r="J361" s="95">
        <f>D$21</f>
        <v>0</v>
      </c>
      <c r="K361" s="95" t="str">
        <f t="shared" si="129"/>
        <v>SR</v>
      </c>
      <c r="L361" s="95" t="str">
        <f t="shared" si="130"/>
        <v>0</v>
      </c>
      <c r="M361" s="95" t="str">
        <f t="shared" si="131"/>
        <v>0</v>
      </c>
      <c r="N361" s="95" t="str">
        <f t="shared" si="132"/>
        <v>0</v>
      </c>
      <c r="O361" s="95" t="str">
        <f t="shared" si="133"/>
        <v>0</v>
      </c>
      <c r="P361" s="95" t="str">
        <f t="shared" si="134"/>
        <v>0</v>
      </c>
      <c r="Q361" s="95">
        <f>IF(AND(G361=T$21,LEN(G361)&gt;1),1,0)</f>
        <v>0</v>
      </c>
      <c r="R361" s="97">
        <f>Doubles!G$21</f>
        <v>20</v>
      </c>
      <c r="S361" s="95">
        <f>IF(AND(H361=H$21,LEN(H361)&gt;1,Q361=1),1,0)</f>
        <v>0</v>
      </c>
      <c r="V361" s="97">
        <f>VLOOKUP(20,R342:S365,2,0)</f>
        <v>0</v>
      </c>
      <c r="W361" s="95" t="str">
        <f t="shared" si="135"/>
        <v/>
      </c>
      <c r="X361" s="95">
        <f>IF(F$21=0,IF(AND(G361=G413,NOT(G361=G387),NOT(G361=G439),LEN(W361)&gt;0),2,IF(LEN(W361)=0,0,1)),0)</f>
        <v>0</v>
      </c>
      <c r="Y361" s="95" t="str">
        <f t="shared" si="136"/>
        <v xml:space="preserve"> 0-0</v>
      </c>
      <c r="Z361" s="95" t="str">
        <f t="shared" si="137"/>
        <v xml:space="preserve"> 0-0</v>
      </c>
      <c r="AA361" s="95" t="str">
        <f t="shared" si="138"/>
        <v xml:space="preserve"> 0-0</v>
      </c>
      <c r="AB361" s="95" t="str">
        <f t="shared" si="139"/>
        <v xml:space="preserve"> 0-0</v>
      </c>
      <c r="AC361" s="95" t="str">
        <f>IF(AND(LEN(W361)&gt;0,F$21=0),IF(X361=2,W361&amp;" +2, ",W361&amp;", "),"")</f>
        <v/>
      </c>
    </row>
    <row r="362" spans="1:29">
      <c r="A362" s="95">
        <v>21</v>
      </c>
      <c r="B362" s="95">
        <f>IF(Doubles!N84="",0,Doubles!N84)</f>
        <v>0</v>
      </c>
      <c r="C362" s="99" t="str">
        <f>IF(OR(LEFT(B362,LEN(B$22))=B$22,LEFT(B362,LEN(C$22))=C$22,LEN(B362)&lt;2),"",IF(B362="no pick","","Wrong pick"))</f>
        <v/>
      </c>
      <c r="D362" s="95">
        <f t="shared" si="126"/>
        <v>0</v>
      </c>
      <c r="E362" s="95">
        <f t="shared" si="127"/>
        <v>0</v>
      </c>
      <c r="G362" s="95" t="str">
        <f>IF(B362=0,"",IF(B362="no pick","No Pick",IF(LEFT(B362,LEN(B$22))=B$22,B$22,C$22)))</f>
        <v/>
      </c>
      <c r="H362" s="95" t="str">
        <f t="shared" si="128"/>
        <v>0-0</v>
      </c>
      <c r="I362" s="95" t="str">
        <f>IF(AND(J362=$I$2,F$22=0,NOT(E$22="")),IF(OR(AND(Y362=AA362,Z362=AB362),AND(Y362=AB362,Z362=AA362)),"",IF(AND(Y362=Z362,AA362=AB362),Y362&amp;" +2 v. "&amp;AA362&amp;" +2, ",IF(Y362=AA362,Z362&amp;" v. "&amp;AB362&amp;", ",IF(Z362=AB362,Y362&amp;" v. "&amp;AA362&amp;", ",IF(Y362=AB362,Z362&amp;" v. "&amp;AA362&amp;", ",IF(Z362=AA362,Y362&amp;" v. "&amp;AB362&amp;", ",Y362&amp;" v. "&amp;AA362&amp;", "&amp;Z362&amp;" v. "&amp;AB362&amp;", ")))))),"")</f>
        <v/>
      </c>
      <c r="J362" s="95">
        <f>D$22</f>
        <v>0</v>
      </c>
      <c r="K362" s="95" t="str">
        <f t="shared" si="129"/>
        <v>SR</v>
      </c>
      <c r="L362" s="95" t="str">
        <f t="shared" si="130"/>
        <v>0</v>
      </c>
      <c r="M362" s="95" t="str">
        <f t="shared" si="131"/>
        <v>0</v>
      </c>
      <c r="N362" s="95" t="str">
        <f t="shared" si="132"/>
        <v>0</v>
      </c>
      <c r="O362" s="95" t="str">
        <f t="shared" si="133"/>
        <v>0</v>
      </c>
      <c r="P362" s="95" t="str">
        <f t="shared" si="134"/>
        <v>0</v>
      </c>
      <c r="Q362" s="95">
        <f>IF(AND(G362=T$22,LEN(G362)&gt;1),1,0)</f>
        <v>0</v>
      </c>
      <c r="R362" s="97">
        <f>Doubles!G$22</f>
        <v>21</v>
      </c>
      <c r="S362" s="95">
        <f>IF(AND(H362=H$22,LEN(H362)&gt;1,Q362=1),1,0)</f>
        <v>0</v>
      </c>
      <c r="V362" s="97">
        <f>VLOOKUP(21,R342:S365,2,0)</f>
        <v>0</v>
      </c>
      <c r="W362" s="95" t="str">
        <f t="shared" si="135"/>
        <v/>
      </c>
      <c r="X362" s="95">
        <f>IF(F$22=0,IF(AND(G362=G414,NOT(G362=G388),NOT(G362=G440),LEN(W362)&gt;0),2,IF(LEN(W362)=0,0,1)),0)</f>
        <v>0</v>
      </c>
      <c r="Y362" s="95" t="str">
        <f t="shared" si="136"/>
        <v xml:space="preserve"> 0-0</v>
      </c>
      <c r="Z362" s="95" t="str">
        <f t="shared" si="137"/>
        <v xml:space="preserve"> 0-0</v>
      </c>
      <c r="AA362" s="95" t="str">
        <f t="shared" si="138"/>
        <v xml:space="preserve"> 0-0</v>
      </c>
      <c r="AB362" s="95" t="str">
        <f t="shared" si="139"/>
        <v xml:space="preserve"> 0-0</v>
      </c>
      <c r="AC362" s="95" t="str">
        <f>IF(AND(LEN(W362)&gt;0,F$22=0),IF(X362=2,W362&amp;" +2, ",W362&amp;", "),"")</f>
        <v/>
      </c>
    </row>
    <row r="363" spans="1:29">
      <c r="A363" s="95">
        <v>22</v>
      </c>
      <c r="B363" s="95">
        <f>IF(Doubles!N85="",0,Doubles!N85)</f>
        <v>0</v>
      </c>
      <c r="C363" s="99" t="str">
        <f>IF(OR(LEFT(B363,LEN(B$23))=B$23,LEFT(B363,LEN(C$23))=C$23,LEN(B363)&lt;2),"",IF(B363="no pick","","Wrong pick"))</f>
        <v/>
      </c>
      <c r="D363" s="95">
        <f t="shared" si="126"/>
        <v>0</v>
      </c>
      <c r="E363" s="95">
        <f t="shared" si="127"/>
        <v>0</v>
      </c>
      <c r="G363" s="95" t="str">
        <f>IF(B363=0,"",IF(B363="no pick","No Pick",IF(LEFT(B363,LEN(B$23))=B$23,B$23,C$23)))</f>
        <v/>
      </c>
      <c r="H363" s="95" t="str">
        <f t="shared" si="128"/>
        <v>0-0</v>
      </c>
      <c r="I363" s="95" t="str">
        <f>IF(AND(J363=$I$2,F$23=0,NOT(E$23="")),IF(OR(AND(Y363=AA363,Z363=AB363),AND(Y363=AB363,Z363=AA363)),"",IF(AND(Y363=Z363,AA363=AB363),Y363&amp;" +2 v. "&amp;AA363&amp;" +2, ",IF(Y363=AA363,Z363&amp;" v. "&amp;AB363&amp;", ",IF(Z363=AB363,Y363&amp;" v. "&amp;AA363&amp;", ",IF(Y363=AB363,Z363&amp;" v. "&amp;AA363&amp;", ",IF(Z363=AA363,Y363&amp;" v. "&amp;AB363&amp;", ",Y363&amp;" v. "&amp;AA363&amp;", "&amp;Z363&amp;" v. "&amp;AB363&amp;", ")))))),"")</f>
        <v/>
      </c>
      <c r="J363" s="95">
        <f>D$23</f>
        <v>0</v>
      </c>
      <c r="K363" s="95" t="str">
        <f t="shared" si="129"/>
        <v>SR</v>
      </c>
      <c r="L363" s="95" t="str">
        <f t="shared" si="130"/>
        <v>0</v>
      </c>
      <c r="M363" s="95" t="str">
        <f t="shared" si="131"/>
        <v>0</v>
      </c>
      <c r="N363" s="95" t="str">
        <f t="shared" si="132"/>
        <v>0</v>
      </c>
      <c r="O363" s="95" t="str">
        <f t="shared" si="133"/>
        <v>0</v>
      </c>
      <c r="P363" s="95" t="str">
        <f t="shared" si="134"/>
        <v>0</v>
      </c>
      <c r="Q363" s="95">
        <f>IF(AND(G363=T$23,LEN(G363)&gt;1),1,0)</f>
        <v>0</v>
      </c>
      <c r="R363" s="97">
        <f>Doubles!G$23</f>
        <v>22</v>
      </c>
      <c r="S363" s="95">
        <f>IF(AND(H363=H$23,LEN(H363)&gt;1,Q363=1),1,0)</f>
        <v>0</v>
      </c>
      <c r="V363" s="97">
        <f>VLOOKUP(22,R342:S365,2,0)</f>
        <v>0</v>
      </c>
      <c r="W363" s="95" t="str">
        <f t="shared" si="135"/>
        <v/>
      </c>
      <c r="X363" s="95">
        <f>IF(F$23=0,IF(AND(G363=G415,NOT(G363=G389),NOT(G363=G441),LEN(W363)&gt;0),2,IF(LEN(W363)=0,0,1)),0)</f>
        <v>0</v>
      </c>
      <c r="Y363" s="95" t="str">
        <f t="shared" si="136"/>
        <v xml:space="preserve"> 0-0</v>
      </c>
      <c r="Z363" s="95" t="str">
        <f t="shared" si="137"/>
        <v xml:space="preserve"> 0-0</v>
      </c>
      <c r="AA363" s="95" t="str">
        <f t="shared" si="138"/>
        <v xml:space="preserve"> 0-0</v>
      </c>
      <c r="AB363" s="95" t="str">
        <f t="shared" si="139"/>
        <v xml:space="preserve"> 0-0</v>
      </c>
      <c r="AC363" s="95" t="str">
        <f>IF(AND(LEN(W363)&gt;0,F$23=0),IF(X363=2,W363&amp;" +2, ",W363&amp;", "),"")</f>
        <v/>
      </c>
    </row>
    <row r="364" spans="1:29">
      <c r="A364" s="95">
        <v>23</v>
      </c>
      <c r="B364" s="95">
        <f>IF(Doubles!N86="",0,Doubles!N86)</f>
        <v>0</v>
      </c>
      <c r="C364" s="99" t="str">
        <f>IF(OR(LEFT(B364,LEN(B$24))=B$24,LEFT(B364,LEN(C$24))=C$24,LEN(B364)&lt;2),"",IF(B364="no pick","","Wrong pick"))</f>
        <v/>
      </c>
      <c r="D364" s="95">
        <f t="shared" si="126"/>
        <v>0</v>
      </c>
      <c r="E364" s="95">
        <f t="shared" si="127"/>
        <v>0</v>
      </c>
      <c r="G364" s="95" t="str">
        <f>IF(B364=0,"",IF(B364="no pick","No Pick",IF(LEFT(B364,LEN(B$24))=B$24,B$24,C$24)))</f>
        <v/>
      </c>
      <c r="H364" s="95" t="str">
        <f t="shared" si="128"/>
        <v>0-0</v>
      </c>
      <c r="I364" s="95" t="str">
        <f>IF(AND(J364=$I$2,F$24=0,NOT(E$24="")),IF(OR(AND(Y364=AA364,Z364=AB364),AND(Y364=AB364,Z364=AA364)),"",IF(AND(Y364=Z364,AA364=AB364),Y364&amp;" +2 v. "&amp;AA364&amp;" +2, ",IF(Y364=AA364,Z364&amp;" v. "&amp;AB364&amp;", ",IF(Z364=AB364,Y364&amp;" v. "&amp;AA364&amp;", ",IF(Y364=AB364,Z364&amp;" v. "&amp;AA364&amp;", ",IF(Z364=AA364,Y364&amp;" v. "&amp;AB364&amp;", ",Y364&amp;" v. "&amp;AA364&amp;", "&amp;Z364&amp;" v. "&amp;AB364&amp;", ")))))),"")</f>
        <v/>
      </c>
      <c r="J364" s="95">
        <f>D$24</f>
        <v>0</v>
      </c>
      <c r="K364" s="95" t="str">
        <f t="shared" si="129"/>
        <v>SR</v>
      </c>
      <c r="L364" s="95" t="str">
        <f t="shared" si="130"/>
        <v>0</v>
      </c>
      <c r="M364" s="95" t="str">
        <f t="shared" si="131"/>
        <v>0</v>
      </c>
      <c r="N364" s="95" t="str">
        <f t="shared" si="132"/>
        <v>0</v>
      </c>
      <c r="O364" s="95" t="str">
        <f t="shared" si="133"/>
        <v>0</v>
      </c>
      <c r="P364" s="95" t="str">
        <f t="shared" si="134"/>
        <v>0</v>
      </c>
      <c r="Q364" s="95">
        <f>IF(AND(G364=T$24,LEN(G364)&gt;1),1,0)</f>
        <v>0</v>
      </c>
      <c r="R364" s="97">
        <f>Doubles!G$24</f>
        <v>23</v>
      </c>
      <c r="S364" s="95">
        <f>IF(AND(H364=H$24,LEN(H364)&gt;1,Q364=1),1,0)</f>
        <v>0</v>
      </c>
      <c r="V364" s="97">
        <f>VLOOKUP(23,R342:S365,2,0)</f>
        <v>0</v>
      </c>
      <c r="W364" s="95" t="str">
        <f t="shared" si="135"/>
        <v/>
      </c>
      <c r="X364" s="95">
        <f>IF(F$24=0,IF(AND(G364=G416,NOT(G364=G390),NOT(G364=G442),LEN(W364)&gt;0),2,IF(LEN(W364)=0,0,1)),0)</f>
        <v>0</v>
      </c>
      <c r="Y364" s="95" t="str">
        <f t="shared" si="136"/>
        <v xml:space="preserve"> 0-0</v>
      </c>
      <c r="Z364" s="95" t="str">
        <f t="shared" si="137"/>
        <v xml:space="preserve"> 0-0</v>
      </c>
      <c r="AA364" s="95" t="str">
        <f t="shared" si="138"/>
        <v xml:space="preserve"> 0-0</v>
      </c>
      <c r="AB364" s="95" t="str">
        <f t="shared" si="139"/>
        <v xml:space="preserve"> 0-0</v>
      </c>
      <c r="AC364" s="95" t="str">
        <f>IF(AND(LEN(W364)&gt;0,F$24=0),IF(X364=2,W364&amp;" +2, ",W364&amp;", "),"")</f>
        <v/>
      </c>
    </row>
    <row r="365" spans="1:29">
      <c r="A365" s="95">
        <v>24</v>
      </c>
      <c r="B365" s="95">
        <f>IF(Doubles!N87="",0,Doubles!N87)</f>
        <v>0</v>
      </c>
      <c r="C365" s="99" t="str">
        <f>IF(OR(LEFT(B365,LEN(B$25))=B$25,LEFT(B365,LEN(C$25))=C$25,LEN(B365)&lt;2),"",IF(B365="no pick","","Wrong pick"))</f>
        <v/>
      </c>
      <c r="D365" s="95">
        <f t="shared" si="126"/>
        <v>0</v>
      </c>
      <c r="E365" s="95">
        <f t="shared" si="127"/>
        <v>0</v>
      </c>
      <c r="G365" s="95" t="str">
        <f>IF(B365=0,"",IF(B365="no pick","No Pick",IF(LEFT(B365,LEN(B$25))=B$25,B$25,C$25)))</f>
        <v/>
      </c>
      <c r="H365" s="95" t="str">
        <f t="shared" si="128"/>
        <v>0-0</v>
      </c>
      <c r="I365" s="95" t="str">
        <f>IF(AND(J365=$I$2,F$25=0,NOT(E$25="")),IF(OR(AND(Y365=AA365,Z365=AB365),AND(Y365=AB365,Z365=AA365)),"",IF(AND(Y365=Z365,AA365=AB365),Y365&amp;" +2 v. "&amp;AA365&amp;" +2, ",IF(Y365=AA365,Z365&amp;" v. "&amp;AB365&amp;", ",IF(Z365=AB365,Y365&amp;" v. "&amp;AA365&amp;", ",IF(Y365=AB365,Z365&amp;" v. "&amp;AA365&amp;", ",IF(Z365=AA365,Y365&amp;" v. "&amp;AB365&amp;", ",Y365&amp;" v. "&amp;AA365&amp;", "&amp;Z365&amp;" v. "&amp;AB365&amp;", ")))))),"")</f>
        <v/>
      </c>
      <c r="J365" s="95">
        <f>D$25</f>
        <v>0</v>
      </c>
      <c r="K365" s="95" t="str">
        <f t="shared" si="129"/>
        <v>SR</v>
      </c>
      <c r="L365" s="95" t="str">
        <f t="shared" si="130"/>
        <v>0</v>
      </c>
      <c r="M365" s="95" t="str">
        <f t="shared" si="131"/>
        <v>0</v>
      </c>
      <c r="N365" s="95" t="str">
        <f t="shared" si="132"/>
        <v>0</v>
      </c>
      <c r="O365" s="95" t="str">
        <f t="shared" si="133"/>
        <v>0</v>
      </c>
      <c r="P365" s="95" t="str">
        <f t="shared" si="134"/>
        <v>0</v>
      </c>
      <c r="Q365" s="95">
        <f>IF(AND(G365=T$25,LEN(G365)&gt;1),1,0)</f>
        <v>0</v>
      </c>
      <c r="R365" s="97">
        <f>Doubles!G$25</f>
        <v>24</v>
      </c>
      <c r="S365" s="95">
        <f>IF(AND(H365=H$25,LEN(H365)&gt;1,Q365=1),1,0)</f>
        <v>0</v>
      </c>
      <c r="V365" s="97">
        <f>VLOOKUP(24,R342:S365,2,0)</f>
        <v>0</v>
      </c>
      <c r="W365" s="95" t="str">
        <f t="shared" si="135"/>
        <v/>
      </c>
      <c r="X365" s="95">
        <f>IF(F$25=0,IF(AND(G365=G417,NOT(G365=G391),NOT(G365=G443),LEN(W365)&gt;0),2,IF(LEN(W365)=0,0,1)),0)</f>
        <v>0</v>
      </c>
      <c r="Y365" s="95" t="str">
        <f t="shared" si="136"/>
        <v xml:space="preserve"> 0-0</v>
      </c>
      <c r="Z365" s="95" t="str">
        <f t="shared" si="137"/>
        <v xml:space="preserve"> 0-0</v>
      </c>
      <c r="AA365" s="95" t="str">
        <f t="shared" si="138"/>
        <v xml:space="preserve"> 0-0</v>
      </c>
      <c r="AB365" s="95" t="str">
        <f t="shared" si="139"/>
        <v xml:space="preserve"> 0-0</v>
      </c>
      <c r="AC365" s="95" t="str">
        <f>IF(AND(LEN(W365)&gt;0,F$25=0),IF(X365=2,W365&amp;" +2, ",W365&amp;", "),"")</f>
        <v/>
      </c>
    </row>
    <row r="367" spans="1:29">
      <c r="A367" s="95">
        <f>IF(LEN(VLOOKUP(B367,Doubles!$A$2:$D$17,4,0))&gt;0,VLOOKUP(B367,Doubles!$A$2:$D$17,4,0),"")</f>
        <v>3</v>
      </c>
      <c r="B367" s="96" t="str">
        <f>Doubles!P63</f>
        <v>Sauletekis</v>
      </c>
      <c r="C367" s="96">
        <v>2</v>
      </c>
      <c r="D367" s="95" t="str">
        <f>VLOOKUP(B367,Doubles!$A$2:$E$17,5,0)</f>
        <v>POR</v>
      </c>
      <c r="J367" s="95" t="s">
        <v>88</v>
      </c>
      <c r="Q367" s="95" t="s">
        <v>121</v>
      </c>
      <c r="S367" s="95" t="s">
        <v>122</v>
      </c>
      <c r="T367" s="95" t="str">
        <f>IF(LEN(A367)&gt;0,"("&amp;A367&amp;") "&amp;B367,B367)</f>
        <v>(3) Sauletekis</v>
      </c>
      <c r="V367" s="95" t="s">
        <v>122</v>
      </c>
      <c r="Z367" s="95" t="s">
        <v>129</v>
      </c>
    </row>
    <row r="368" spans="1:29">
      <c r="A368" s="95">
        <v>1</v>
      </c>
      <c r="B368" s="95" t="str">
        <f>IF(Doubles!P64="",0,Doubles!P64)</f>
        <v>GHEM 6-4 4-6 6-3</v>
      </c>
      <c r="C368" s="99" t="str">
        <f>IF(OR(LEFT(B368,LEN(B$2))=B$2,LEFT(B368,LEN(C$2))=C$2,LEN(B368)&lt;2),"",IF(B368="no pick","","Wrong pick"))</f>
        <v/>
      </c>
      <c r="E368" s="95">
        <f t="shared" ref="E368:E391" si="140">IF(AND($I$2=J368,B368=0),1,0)</f>
        <v>0</v>
      </c>
      <c r="F368" s="95" t="str">
        <f>IF(AND(SUM(E368:E391)=$I$4,NOT(B367="Bye")),"Missing picks from "&amp;B367&amp;" ","")</f>
        <v/>
      </c>
      <c r="G368" s="95" t="str">
        <f>IF(B368=0,"",IF(B368="no pick","No Pick",IF(LEFT(B368,LEN(B$2))=B$2,B$2,C$2)))</f>
        <v>Ghem</v>
      </c>
      <c r="H368" s="95" t="str">
        <f t="shared" ref="H368:H391" si="141">IF(L368="","",IF(K368="PTS",IF(LEN(O368)&lt;8,"2-0","2-1"),LEFT(O368,1)&amp;"-"&amp;RIGHT(O368,1)))</f>
        <v>2-1</v>
      </c>
      <c r="J368" s="97">
        <f>D$2</f>
        <v>1</v>
      </c>
      <c r="K368" s="95" t="str">
        <f t="shared" ref="K368:K391" si="142">IF(LEN(L368)&gt;0,IF(LEN(O368)&lt;4,"SR","PTS"),"")</f>
        <v>PTS</v>
      </c>
      <c r="L368" s="95" t="str">
        <f t="shared" ref="L368:L391" si="143">TRIM(RIGHT(B368,LEN(B368)-LEN(G368)))</f>
        <v>6-4 4-6 6-3</v>
      </c>
      <c r="M368" s="95" t="str">
        <f t="shared" ref="M368:M391" si="144">SUBSTITUTE(L368,"-","")</f>
        <v>64 46 63</v>
      </c>
      <c r="N368" s="95" t="str">
        <f t="shared" ref="N368:N391" si="145">SUBSTITUTE(M368,","," ")</f>
        <v>64 46 63</v>
      </c>
      <c r="O368" s="95" t="str">
        <f t="shared" ref="O368:O391" si="146">IF(AND(LEN(TRIM(SUBSTITUTE(P368,"/","")))&gt;6,OR(LEFT(TRIM(SUBSTITUTE(P368,"/","")),2)="20",LEFT(TRIM(SUBSTITUTE(P368,"/","")),2)="21")),RIGHT(TRIM(SUBSTITUTE(P368,"/","")),LEN(TRIM(SUBSTITUTE(P368,"/","")))-3),TRIM(SUBSTITUTE(P368,"/","")))</f>
        <v>64 46 63</v>
      </c>
      <c r="P368" s="95" t="str">
        <f t="shared" ref="P368:P391" si="147">SUBSTITUTE(N368,":","")</f>
        <v>64 46 63</v>
      </c>
      <c r="Q368" s="95">
        <f>IF(AND(G368=T$2,LEN(G368)&gt;1),1,0)</f>
        <v>0</v>
      </c>
      <c r="R368" s="97">
        <f>Doubles!G$2</f>
        <v>1</v>
      </c>
      <c r="S368" s="95">
        <f>IF(AND(H368=H$2,LEN(H368)&gt;1,Q368=1),1,0)</f>
        <v>0</v>
      </c>
      <c r="V368" s="97">
        <f>VLOOKUP(1,R368:S391,2,0)</f>
        <v>0</v>
      </c>
      <c r="W368" s="95">
        <v>1</v>
      </c>
      <c r="Y368" s="95">
        <f>COUNTIF(X342:X365,"&gt;0")</f>
        <v>5</v>
      </c>
    </row>
    <row r="369" spans="1:23">
      <c r="A369" s="95">
        <v>2</v>
      </c>
      <c r="B369" s="95" t="str">
        <f>IF(Doubles!P65="",0,Doubles!P65)</f>
        <v>MACHADO 6-2 6-0</v>
      </c>
      <c r="C369" s="99" t="str">
        <f>IF(OR(LEFT(B369,LEN(B$3))=B$3,LEFT(B369,LEN(C$3))=C$3,LEN(B369)&lt;2),"",IF(B369="no pick","","Wrong pick"))</f>
        <v/>
      </c>
      <c r="E369" s="95">
        <f t="shared" si="140"/>
        <v>0</v>
      </c>
      <c r="G369" s="95" t="str">
        <f>IF(B369=0,"",IF(B369="no pick","No Pick",IF(LEFT(B369,LEN(B$3))=B$3,B$3,C$3)))</f>
        <v>Machado</v>
      </c>
      <c r="H369" s="95" t="str">
        <f t="shared" si="141"/>
        <v>2-0</v>
      </c>
      <c r="J369" s="97">
        <f>D$3</f>
        <v>1</v>
      </c>
      <c r="K369" s="95" t="str">
        <f t="shared" si="142"/>
        <v>PTS</v>
      </c>
      <c r="L369" s="95" t="str">
        <f t="shared" si="143"/>
        <v>6-2 6-0</v>
      </c>
      <c r="M369" s="95" t="str">
        <f t="shared" si="144"/>
        <v>62 60</v>
      </c>
      <c r="N369" s="95" t="str">
        <f t="shared" si="145"/>
        <v>62 60</v>
      </c>
      <c r="O369" s="95" t="str">
        <f t="shared" si="146"/>
        <v>62 60</v>
      </c>
      <c r="P369" s="95" t="str">
        <f t="shared" si="147"/>
        <v>62 60</v>
      </c>
      <c r="Q369" s="95">
        <f>IF(AND(G369=T$3,LEN(G369)&gt;1),1,0)</f>
        <v>0</v>
      </c>
      <c r="R369" s="97">
        <f>Doubles!G$3</f>
        <v>2</v>
      </c>
      <c r="S369" s="95">
        <f>IF(AND(H369=H$3,LEN(H369)&gt;1,Q369=1),1,0)</f>
        <v>0</v>
      </c>
      <c r="V369" s="97">
        <f>VLOOKUP(2,R368:S391,2,0)</f>
        <v>0</v>
      </c>
      <c r="W369" s="95">
        <v>2</v>
      </c>
    </row>
    <row r="370" spans="1:23">
      <c r="A370" s="95">
        <v>3</v>
      </c>
      <c r="B370" s="95" t="str">
        <f>IF(Doubles!P66="",0,Doubles!P66)</f>
        <v>JUNQUEIRA 6-4 6-3</v>
      </c>
      <c r="C370" s="99" t="str">
        <f>IF(OR(LEFT(B370,LEN(B$4))=B$4,LEFT(B370,LEN(C$4))=C$4,LEN(B370)&lt;2),"",IF(B370="no pick","","Wrong pick"))</f>
        <v/>
      </c>
      <c r="E370" s="95">
        <f t="shared" si="140"/>
        <v>0</v>
      </c>
      <c r="G370" s="95" t="str">
        <f>IF(B370=0,"",IF(B370="no pick","No Pick",IF(LEFT(B370,LEN(B$4))=B$4,B$4,C$4)))</f>
        <v>Junqueira</v>
      </c>
      <c r="H370" s="95" t="str">
        <f t="shared" si="141"/>
        <v>2-0</v>
      </c>
      <c r="J370" s="97">
        <f>D$4</f>
        <v>1</v>
      </c>
      <c r="K370" s="95" t="str">
        <f t="shared" si="142"/>
        <v>PTS</v>
      </c>
      <c r="L370" s="95" t="str">
        <f t="shared" si="143"/>
        <v>6-4 6-3</v>
      </c>
      <c r="M370" s="95" t="str">
        <f t="shared" si="144"/>
        <v>64 63</v>
      </c>
      <c r="N370" s="95" t="str">
        <f t="shared" si="145"/>
        <v>64 63</v>
      </c>
      <c r="O370" s="95" t="str">
        <f t="shared" si="146"/>
        <v>64 63</v>
      </c>
      <c r="P370" s="95" t="str">
        <f t="shared" si="147"/>
        <v>64 63</v>
      </c>
      <c r="Q370" s="95">
        <f>IF(AND(G370=T$4,LEN(G370)&gt;1),1,0)</f>
        <v>0</v>
      </c>
      <c r="R370" s="97">
        <f>Doubles!G$4</f>
        <v>3</v>
      </c>
      <c r="S370" s="95">
        <f>IF(AND(H370=H$4,LEN(H370)&gt;1,Q370=1),1,0)</f>
        <v>0</v>
      </c>
      <c r="V370" s="97">
        <f>VLOOKUP(3,R368:S391,2,0)</f>
        <v>0</v>
      </c>
      <c r="W370" s="95">
        <v>3</v>
      </c>
    </row>
    <row r="371" spans="1:23">
      <c r="A371" s="95">
        <v>4</v>
      </c>
      <c r="B371" s="95" t="str">
        <f>IF(Doubles!P67="",0,Doubles!P67)</f>
        <v>GAIO 6-4 7-6</v>
      </c>
      <c r="C371" s="99" t="str">
        <f>IF(OR(LEFT(B371,LEN(B$5))=B$5,LEFT(B371,LEN(C$5))=C$5,LEN(B371)&lt;2),"",IF(B371="no pick","","Wrong pick"))</f>
        <v/>
      </c>
      <c r="E371" s="95">
        <f t="shared" si="140"/>
        <v>0</v>
      </c>
      <c r="G371" s="95" t="str">
        <f>IF(B371=0,"",IF(B371="no pick","No Pick",IF(LEFT(B371,LEN(B$5))=B$5,B$5,C$5)))</f>
        <v>Gaio</v>
      </c>
      <c r="H371" s="95" t="str">
        <f t="shared" si="141"/>
        <v>2-0</v>
      </c>
      <c r="J371" s="97">
        <f>D$5</f>
        <v>1</v>
      </c>
      <c r="K371" s="95" t="str">
        <f t="shared" si="142"/>
        <v>PTS</v>
      </c>
      <c r="L371" s="95" t="str">
        <f t="shared" si="143"/>
        <v>6-4 7-6</v>
      </c>
      <c r="M371" s="95" t="str">
        <f t="shared" si="144"/>
        <v>64 76</v>
      </c>
      <c r="N371" s="95" t="str">
        <f t="shared" si="145"/>
        <v>64 76</v>
      </c>
      <c r="O371" s="95" t="str">
        <f t="shared" si="146"/>
        <v>64 76</v>
      </c>
      <c r="P371" s="95" t="str">
        <f t="shared" si="147"/>
        <v>64 76</v>
      </c>
      <c r="Q371" s="95">
        <f>IF(AND(G371=T$5,LEN(G371)&gt;1),1,0)</f>
        <v>0</v>
      </c>
      <c r="R371" s="97">
        <f>Doubles!G$5</f>
        <v>4</v>
      </c>
      <c r="S371" s="95">
        <f>IF(AND(H371=H$5,LEN(H371)&gt;1,Q371=1),1,0)</f>
        <v>0</v>
      </c>
      <c r="V371" s="97">
        <f>VLOOKUP(4,R368:S391,2,0)</f>
        <v>0</v>
      </c>
      <c r="W371" s="95">
        <v>4</v>
      </c>
    </row>
    <row r="372" spans="1:23">
      <c r="A372" s="95">
        <v>5</v>
      </c>
      <c r="B372" s="95" t="str">
        <f>IF(Doubles!P68="",0,Doubles!P68)</f>
        <v>PODLIPBIK-CASTILLO 6-0 6-0</v>
      </c>
      <c r="C372" s="99" t="str">
        <f>IF(OR(LEFT(B372,LEN(B$6))=B$6,LEFT(B372,LEN(C$6))=C$6,LEN(B372)&lt;2),"",IF(B372="no pick","","Wrong pick"))</f>
        <v/>
      </c>
      <c r="E372" s="95">
        <f t="shared" si="140"/>
        <v>0</v>
      </c>
      <c r="G372" s="95" t="str">
        <f>IF(B372=0,"",IF(B372="no pick","No Pick",IF(LEFT(B372,LEN(B$6))=B$6,B$6,C$6)))</f>
        <v>PODLIPBIK-CASTILLO</v>
      </c>
      <c r="H372" s="95" t="str">
        <f t="shared" si="141"/>
        <v>2-0</v>
      </c>
      <c r="J372" s="97">
        <f>D$6</f>
        <v>1</v>
      </c>
      <c r="K372" s="95" t="str">
        <f t="shared" si="142"/>
        <v>PTS</v>
      </c>
      <c r="L372" s="95" t="str">
        <f t="shared" si="143"/>
        <v>6-0 6-0</v>
      </c>
      <c r="M372" s="95" t="str">
        <f t="shared" si="144"/>
        <v>60 60</v>
      </c>
      <c r="N372" s="95" t="str">
        <f t="shared" si="145"/>
        <v>60 60</v>
      </c>
      <c r="O372" s="95" t="str">
        <f t="shared" si="146"/>
        <v>60 60</v>
      </c>
      <c r="P372" s="95" t="str">
        <f t="shared" si="147"/>
        <v>60 60</v>
      </c>
      <c r="Q372" s="95">
        <f>IF(AND(G372=T$6,LEN(G372)&gt;1),1,0)</f>
        <v>0</v>
      </c>
      <c r="R372" s="97">
        <f>Doubles!G$6</f>
        <v>5</v>
      </c>
      <c r="S372" s="95">
        <f>IF(AND(H372=H$6,LEN(H372)&gt;1,Q372=1),1,0)</f>
        <v>0</v>
      </c>
      <c r="V372" s="97">
        <f>VLOOKUP(5,R368:S391,2,0)</f>
        <v>0</v>
      </c>
      <c r="W372" s="95">
        <v>5</v>
      </c>
    </row>
    <row r="373" spans="1:23">
      <c r="A373" s="95">
        <v>6</v>
      </c>
      <c r="B373" s="95" t="str">
        <f>IF(Doubles!P69="",0,Doubles!P69)</f>
        <v>DURAN 6-4 4-6 6-2</v>
      </c>
      <c r="C373" s="99" t="str">
        <f>IF(OR(LEFT(B373,LEN(B$7))=B$7,LEFT(B373,LEN(C$7))=C$7,LEN(B373)&lt;2),"",IF(B373="no pick","","Wrong pick"))</f>
        <v/>
      </c>
      <c r="E373" s="95">
        <f t="shared" si="140"/>
        <v>0</v>
      </c>
      <c r="G373" s="95" t="str">
        <f>IF(B373=0,"",IF(B373="no pick","No Pick",IF(LEFT(B373,LEN(B$7))=B$7,B$7,C$7)))</f>
        <v>Duran</v>
      </c>
      <c r="H373" s="95" t="str">
        <f t="shared" si="141"/>
        <v>2-1</v>
      </c>
      <c r="J373" s="97">
        <f>D$7</f>
        <v>1</v>
      </c>
      <c r="K373" s="95" t="str">
        <f t="shared" si="142"/>
        <v>PTS</v>
      </c>
      <c r="L373" s="95" t="str">
        <f t="shared" si="143"/>
        <v>6-4 4-6 6-2</v>
      </c>
      <c r="M373" s="95" t="str">
        <f t="shared" si="144"/>
        <v>64 46 62</v>
      </c>
      <c r="N373" s="95" t="str">
        <f t="shared" si="145"/>
        <v>64 46 62</v>
      </c>
      <c r="O373" s="95" t="str">
        <f t="shared" si="146"/>
        <v>64 46 62</v>
      </c>
      <c r="P373" s="95" t="str">
        <f t="shared" si="147"/>
        <v>64 46 62</v>
      </c>
      <c r="Q373" s="95">
        <f>IF(AND(G373=T$7,LEN(G373)&gt;1),1,0)</f>
        <v>0</v>
      </c>
      <c r="R373" s="97">
        <f>Doubles!G$7</f>
        <v>6</v>
      </c>
      <c r="S373" s="95">
        <f>IF(AND(H373=H$7,LEN(H373)&gt;1,Q373=1),1,0)</f>
        <v>0</v>
      </c>
      <c r="V373" s="97">
        <f>VLOOKUP(6,R368:S391,2,0)</f>
        <v>0</v>
      </c>
      <c r="W373" s="95">
        <v>6</v>
      </c>
    </row>
    <row r="374" spans="1:23">
      <c r="A374" s="95">
        <v>7</v>
      </c>
      <c r="B374" s="95" t="str">
        <f>IF(Doubles!P70="",0,Doubles!P70)</f>
        <v>MICHON 6-4 6-3</v>
      </c>
      <c r="C374" s="99" t="str">
        <f>IF(OR(LEFT(B374,LEN(B$8))=B$8,LEFT(B374,LEN(C$8))=C$8,LEN(B374)&lt;2),"",IF(B374="no pick","","Wrong pick"))</f>
        <v/>
      </c>
      <c r="E374" s="95">
        <f t="shared" si="140"/>
        <v>0</v>
      </c>
      <c r="G374" s="95" t="str">
        <f>IF(B374=0,"",IF(B374="no pick","No Pick",IF(LEFT(B374,LEN(B$8))=B$8,B$8,C$8)))</f>
        <v>Michon</v>
      </c>
      <c r="H374" s="95" t="str">
        <f t="shared" si="141"/>
        <v>2-0</v>
      </c>
      <c r="J374" s="97">
        <f>D$8</f>
        <v>1</v>
      </c>
      <c r="K374" s="95" t="str">
        <f t="shared" si="142"/>
        <v>PTS</v>
      </c>
      <c r="L374" s="95" t="str">
        <f t="shared" si="143"/>
        <v>6-4 6-3</v>
      </c>
      <c r="M374" s="95" t="str">
        <f t="shared" si="144"/>
        <v>64 63</v>
      </c>
      <c r="N374" s="95" t="str">
        <f t="shared" si="145"/>
        <v>64 63</v>
      </c>
      <c r="O374" s="95" t="str">
        <f t="shared" si="146"/>
        <v>64 63</v>
      </c>
      <c r="P374" s="95" t="str">
        <f t="shared" si="147"/>
        <v>64 63</v>
      </c>
      <c r="Q374" s="95">
        <f>IF(AND(G374=T$8,LEN(G374)&gt;1),1,0)</f>
        <v>0</v>
      </c>
      <c r="R374" s="97">
        <f>Doubles!G$8</f>
        <v>7</v>
      </c>
      <c r="S374" s="95">
        <f>IF(AND(H374=H$8,LEN(H374)&gt;1,Q374=1),1,0)</f>
        <v>0</v>
      </c>
      <c r="V374" s="97">
        <f>VLOOKUP(7,R368:S391,2,0)</f>
        <v>0</v>
      </c>
      <c r="W374" s="95">
        <v>7</v>
      </c>
    </row>
    <row r="375" spans="1:23">
      <c r="A375" s="95">
        <v>8</v>
      </c>
      <c r="B375" s="95" t="str">
        <f>IF(Doubles!P71="",0,Doubles!P71)</f>
        <v>GONZALEZ 6-4 6-2</v>
      </c>
      <c r="C375" s="99" t="str">
        <f>IF(OR(LEFT(B375,LEN(B$9))=B$9,LEFT(B375,LEN(C$9))=C$9,LEN(B375)&lt;2),"",IF(B375="no pick","","Wrong pick"))</f>
        <v/>
      </c>
      <c r="E375" s="95">
        <f t="shared" si="140"/>
        <v>0</v>
      </c>
      <c r="G375" s="95" t="str">
        <f>IF(B375=0,"",IF(B375="no pick","No Pick",IF(LEFT(B375,LEN(B$9))=B$9,B$9,C$9)))</f>
        <v>gonzalez</v>
      </c>
      <c r="H375" s="95" t="str">
        <f t="shared" si="141"/>
        <v>2-0</v>
      </c>
      <c r="J375" s="97">
        <f>D$9</f>
        <v>1</v>
      </c>
      <c r="K375" s="95" t="str">
        <f t="shared" si="142"/>
        <v>PTS</v>
      </c>
      <c r="L375" s="95" t="str">
        <f t="shared" si="143"/>
        <v>6-4 6-2</v>
      </c>
      <c r="M375" s="95" t="str">
        <f t="shared" si="144"/>
        <v>64 62</v>
      </c>
      <c r="N375" s="95" t="str">
        <f t="shared" si="145"/>
        <v>64 62</v>
      </c>
      <c r="O375" s="95" t="str">
        <f t="shared" si="146"/>
        <v>64 62</v>
      </c>
      <c r="P375" s="95" t="str">
        <f t="shared" si="147"/>
        <v>64 62</v>
      </c>
      <c r="Q375" s="95">
        <f>IF(AND(G375=T$9,LEN(G375)&gt;1),1,0)</f>
        <v>0</v>
      </c>
      <c r="R375" s="97">
        <f>Doubles!G$9</f>
        <v>8</v>
      </c>
      <c r="S375" s="95">
        <f>IF(AND(H375=H$9,LEN(H375)&gt;1,Q375=1),1,0)</f>
        <v>0</v>
      </c>
      <c r="V375" s="97">
        <f>VLOOKUP(8,R368:S391,2,0)</f>
        <v>0</v>
      </c>
      <c r="W375" s="95">
        <v>8</v>
      </c>
    </row>
    <row r="376" spans="1:23">
      <c r="A376" s="95">
        <v>9</v>
      </c>
      <c r="B376" s="95" t="str">
        <f>IF(Doubles!P72="",0,Doubles!P72)</f>
        <v>PEREIRA 6-3 6-2</v>
      </c>
      <c r="C376" s="99" t="str">
        <f>IF(OR(LEFT(B376,LEN(B$10))=B$10,LEFT(B376,LEN(C$10))=C$10,LEN(B376)&lt;2),"",IF(B376="no pick","","Wrong pick"))</f>
        <v/>
      </c>
      <c r="E376" s="95">
        <f t="shared" si="140"/>
        <v>0</v>
      </c>
      <c r="G376" s="95" t="str">
        <f>IF(B376=0,"",IF(B376="no pick","No Pick",IF(LEFT(B376,LEN(B$10))=B$10,B$10,C$10)))</f>
        <v>pereira</v>
      </c>
      <c r="H376" s="95" t="str">
        <f t="shared" si="141"/>
        <v>2-0</v>
      </c>
      <c r="J376" s="97">
        <f>D$10</f>
        <v>1</v>
      </c>
      <c r="K376" s="95" t="str">
        <f t="shared" si="142"/>
        <v>PTS</v>
      </c>
      <c r="L376" s="95" t="str">
        <f t="shared" si="143"/>
        <v>6-3 6-2</v>
      </c>
      <c r="M376" s="95" t="str">
        <f t="shared" si="144"/>
        <v>63 62</v>
      </c>
      <c r="N376" s="95" t="str">
        <f t="shared" si="145"/>
        <v>63 62</v>
      </c>
      <c r="O376" s="95" t="str">
        <f t="shared" si="146"/>
        <v>63 62</v>
      </c>
      <c r="P376" s="95" t="str">
        <f t="shared" si="147"/>
        <v>63 62</v>
      </c>
      <c r="Q376" s="95">
        <f>IF(AND(G376=T$10,LEN(G376)&gt;1),1,0)</f>
        <v>0</v>
      </c>
      <c r="R376" s="97">
        <f>Doubles!G$10</f>
        <v>9</v>
      </c>
      <c r="S376" s="95">
        <f>IF(AND(H376=H$10,LEN(H376)&gt;1,Q376=1),1,0)</f>
        <v>0</v>
      </c>
      <c r="V376" s="97">
        <f>VLOOKUP(9,R368:S391,2,0)</f>
        <v>0</v>
      </c>
      <c r="W376" s="95">
        <v>9</v>
      </c>
    </row>
    <row r="377" spans="1:23">
      <c r="A377" s="95">
        <v>10</v>
      </c>
      <c r="B377" s="95" t="str">
        <f>IF(Doubles!P73="",0,Doubles!P73)</f>
        <v>COLLINARI 6-3 6-4</v>
      </c>
      <c r="C377" s="99" t="str">
        <f>IF(OR(LEFT(B377,LEN(B$11))=B$11,LEFT(B377,LEN(C$11))=C$11,LEN(B377)&lt;2),"",IF(B377="no pick","","Wrong pick"))</f>
        <v/>
      </c>
      <c r="E377" s="95">
        <f t="shared" si="140"/>
        <v>0</v>
      </c>
      <c r="G377" s="95" t="str">
        <f>IF(B377=0,"",IF(B377="no pick","No Pick",IF(LEFT(B377,LEN(B$11))=B$11,B$11,C$11)))</f>
        <v>collinari</v>
      </c>
      <c r="H377" s="95" t="str">
        <f t="shared" si="141"/>
        <v>2-0</v>
      </c>
      <c r="J377" s="97">
        <f>D$11</f>
        <v>1</v>
      </c>
      <c r="K377" s="95" t="str">
        <f t="shared" si="142"/>
        <v>PTS</v>
      </c>
      <c r="L377" s="95" t="str">
        <f t="shared" si="143"/>
        <v>6-3 6-4</v>
      </c>
      <c r="M377" s="95" t="str">
        <f t="shared" si="144"/>
        <v>63 64</v>
      </c>
      <c r="N377" s="95" t="str">
        <f t="shared" si="145"/>
        <v>63 64</v>
      </c>
      <c r="O377" s="95" t="str">
        <f t="shared" si="146"/>
        <v>63 64</v>
      </c>
      <c r="P377" s="95" t="str">
        <f t="shared" si="147"/>
        <v>63 64</v>
      </c>
      <c r="Q377" s="95">
        <f>IF(AND(G377=T$11,LEN(G377)&gt;1),1,0)</f>
        <v>0</v>
      </c>
      <c r="R377" s="97">
        <f>Doubles!G$11</f>
        <v>10</v>
      </c>
      <c r="S377" s="95">
        <f>IF(AND(H377=H$11,LEN(H377)&gt;1,Q377=1),1,0)</f>
        <v>0</v>
      </c>
      <c r="V377" s="97">
        <f>VLOOKUP(10,R368:S391,2,0)</f>
        <v>0</v>
      </c>
      <c r="W377" s="95">
        <v>10</v>
      </c>
    </row>
    <row r="378" spans="1:23">
      <c r="A378" s="95">
        <v>11</v>
      </c>
      <c r="B378" s="95" t="str">
        <f>IF(Doubles!P74="",0,Doubles!P74)</f>
        <v>GINER 6-4 6-2</v>
      </c>
      <c r="C378" s="99" t="str">
        <f>IF(OR(LEFT(B378,LEN(B$12))=B$12,LEFT(B378,LEN(C$12))=C$12,LEN(B378)&lt;2),"",IF(B378="no pick","","Wrong pick"))</f>
        <v/>
      </c>
      <c r="E378" s="95">
        <f t="shared" si="140"/>
        <v>0</v>
      </c>
      <c r="G378" s="95" t="str">
        <f>IF(B378=0,"",IF(B378="no pick","No Pick",IF(LEFT(B378,LEN(B$12))=B$12,B$12,C$12)))</f>
        <v>giner</v>
      </c>
      <c r="H378" s="95" t="str">
        <f t="shared" si="141"/>
        <v>2-0</v>
      </c>
      <c r="J378" s="97">
        <f>D$12</f>
        <v>1</v>
      </c>
      <c r="K378" s="95" t="str">
        <f t="shared" si="142"/>
        <v>PTS</v>
      </c>
      <c r="L378" s="95" t="str">
        <f t="shared" si="143"/>
        <v>6-4 6-2</v>
      </c>
      <c r="M378" s="95" t="str">
        <f t="shared" si="144"/>
        <v>64 62</v>
      </c>
      <c r="N378" s="95" t="str">
        <f t="shared" si="145"/>
        <v>64 62</v>
      </c>
      <c r="O378" s="95" t="str">
        <f t="shared" si="146"/>
        <v>64 62</v>
      </c>
      <c r="P378" s="95" t="str">
        <f t="shared" si="147"/>
        <v>64 62</v>
      </c>
      <c r="Q378" s="95">
        <f>IF(AND(G378=T$12,LEN(G378)&gt;1),1,0)</f>
        <v>0</v>
      </c>
      <c r="R378" s="97">
        <f>Doubles!G$12</f>
        <v>11</v>
      </c>
      <c r="S378" s="95">
        <f>IF(AND(H378=H$12,LEN(H378)&gt;1,Q378=1),1,0)</f>
        <v>0</v>
      </c>
      <c r="V378" s="97">
        <f>VLOOKUP(11,R368:S391,2,0)</f>
        <v>0</v>
      </c>
      <c r="W378" s="95">
        <v>11</v>
      </c>
    </row>
    <row r="379" spans="1:23">
      <c r="A379" s="95">
        <v>12</v>
      </c>
      <c r="B379" s="95" t="str">
        <f>IF(Doubles!P75="",0,Doubles!P75)</f>
        <v>GALDON 7-6 6-4</v>
      </c>
      <c r="C379" s="99" t="str">
        <f>IF(OR(LEFT(B379,LEN(B$13))=B$13,LEFT(B379,LEN(C$13))=C$13,LEN(B379)&lt;2),"",IF(B379="no pick","","Wrong pick"))</f>
        <v/>
      </c>
      <c r="E379" s="95">
        <f t="shared" si="140"/>
        <v>0</v>
      </c>
      <c r="G379" s="95" t="str">
        <f>IF(B379=0,"",IF(B379="no pick","No Pick",IF(LEFT(B379,LEN(B$13))=B$13,B$13,C$13)))</f>
        <v>galdon</v>
      </c>
      <c r="H379" s="95" t="str">
        <f t="shared" si="141"/>
        <v>2-0</v>
      </c>
      <c r="J379" s="97">
        <f>D$13</f>
        <v>1</v>
      </c>
      <c r="K379" s="95" t="str">
        <f t="shared" si="142"/>
        <v>PTS</v>
      </c>
      <c r="L379" s="95" t="str">
        <f t="shared" si="143"/>
        <v>7-6 6-4</v>
      </c>
      <c r="M379" s="95" t="str">
        <f t="shared" si="144"/>
        <v>76 64</v>
      </c>
      <c r="N379" s="95" t="str">
        <f t="shared" si="145"/>
        <v>76 64</v>
      </c>
      <c r="O379" s="95" t="str">
        <f t="shared" si="146"/>
        <v>76 64</v>
      </c>
      <c r="P379" s="95" t="str">
        <f t="shared" si="147"/>
        <v>76 64</v>
      </c>
      <c r="Q379" s="95">
        <f>IF(AND(G379=T$13,LEN(G379)&gt;1),1,0)</f>
        <v>0</v>
      </c>
      <c r="R379" s="97">
        <f>Doubles!G$13</f>
        <v>12</v>
      </c>
      <c r="S379" s="95">
        <f>IF(AND(H379=H$13,LEN(H379)&gt;1,Q379=1),1,0)</f>
        <v>0</v>
      </c>
      <c r="V379" s="97">
        <f>VLOOKUP(12,R368:S391,2,0)</f>
        <v>0</v>
      </c>
      <c r="W379" s="95">
        <v>12</v>
      </c>
    </row>
    <row r="380" spans="1:23">
      <c r="A380" s="95">
        <v>13</v>
      </c>
      <c r="B380" s="95" t="str">
        <f>IF(Doubles!P76="",0,Doubles!P76)</f>
        <v>LOBKOV 6-2 6-1</v>
      </c>
      <c r="C380" s="99" t="str">
        <f>IF(OR(LEFT(B380,LEN(B$14))=B$14,LEFT(B380,LEN(C$14))=C$14,LEN(B380)&lt;2),"",IF(B380="no pick","","Wrong pick"))</f>
        <v/>
      </c>
      <c r="E380" s="95">
        <f t="shared" si="140"/>
        <v>0</v>
      </c>
      <c r="G380" s="95" t="str">
        <f>IF(B380=0,"",IF(B380="no pick","No Pick",IF(LEFT(B380,LEN(B$14))=B$14,B$14,C$14)))</f>
        <v>lobkov</v>
      </c>
      <c r="H380" s="95" t="str">
        <f t="shared" si="141"/>
        <v>2-0</v>
      </c>
      <c r="J380" s="97">
        <f>D$14</f>
        <v>1</v>
      </c>
      <c r="K380" s="95" t="str">
        <f t="shared" si="142"/>
        <v>PTS</v>
      </c>
      <c r="L380" s="95" t="str">
        <f t="shared" si="143"/>
        <v>6-2 6-1</v>
      </c>
      <c r="M380" s="95" t="str">
        <f t="shared" si="144"/>
        <v>62 61</v>
      </c>
      <c r="N380" s="95" t="str">
        <f t="shared" si="145"/>
        <v>62 61</v>
      </c>
      <c r="O380" s="95" t="str">
        <f t="shared" si="146"/>
        <v>62 61</v>
      </c>
      <c r="P380" s="95" t="str">
        <f t="shared" si="147"/>
        <v>62 61</v>
      </c>
      <c r="Q380" s="95">
        <f>IF(AND(G380=T$14,LEN(G380)&gt;1),1,0)</f>
        <v>0</v>
      </c>
      <c r="R380" s="97">
        <f>Doubles!G$14</f>
        <v>13</v>
      </c>
      <c r="S380" s="95">
        <f>IF(AND(H380=H$14,LEN(H380)&gt;1,Q380=1),1,0)</f>
        <v>0</v>
      </c>
      <c r="V380" s="97">
        <f>VLOOKUP(13,R368:S391,2,0)</f>
        <v>0</v>
      </c>
      <c r="W380" s="95">
        <v>13</v>
      </c>
    </row>
    <row r="381" spans="1:23">
      <c r="A381" s="95">
        <v>14</v>
      </c>
      <c r="B381" s="95" t="str">
        <f>IF(Doubles!P77="",0,Doubles!P77)</f>
        <v>SANTOS 6-4 6-3</v>
      </c>
      <c r="C381" s="99" t="str">
        <f>IF(OR(LEFT(B381,LEN(B$15))=B$15,LEFT(B381,LEN(C$15))=C$15,LEN(B381)&lt;2),"",IF(B381="no pick","","Wrong pick"))</f>
        <v/>
      </c>
      <c r="E381" s="95">
        <f t="shared" si="140"/>
        <v>0</v>
      </c>
      <c r="G381" s="95" t="str">
        <f>IF(B381=0,"",IF(B381="no pick","No Pick",IF(LEFT(B381,LEN(B$15))=B$15,B$15,C$15)))</f>
        <v>santos</v>
      </c>
      <c r="H381" s="95" t="str">
        <f t="shared" si="141"/>
        <v>2-0</v>
      </c>
      <c r="J381" s="97">
        <f>D$15</f>
        <v>1</v>
      </c>
      <c r="K381" s="95" t="str">
        <f t="shared" si="142"/>
        <v>PTS</v>
      </c>
      <c r="L381" s="95" t="str">
        <f t="shared" si="143"/>
        <v>6-4 6-3</v>
      </c>
      <c r="M381" s="95" t="str">
        <f t="shared" si="144"/>
        <v>64 63</v>
      </c>
      <c r="N381" s="95" t="str">
        <f t="shared" si="145"/>
        <v>64 63</v>
      </c>
      <c r="O381" s="95" t="str">
        <f t="shared" si="146"/>
        <v>64 63</v>
      </c>
      <c r="P381" s="95" t="str">
        <f t="shared" si="147"/>
        <v>64 63</v>
      </c>
      <c r="Q381" s="95">
        <f>IF(AND(G381=T$15,LEN(G381)&gt;1),1,0)</f>
        <v>0</v>
      </c>
      <c r="R381" s="97">
        <f>Doubles!G$15</f>
        <v>14</v>
      </c>
      <c r="S381" s="95">
        <f>IF(AND(H381=H$15,LEN(H381)&gt;1,Q381=1),1,0)</f>
        <v>0</v>
      </c>
      <c r="V381" s="97">
        <f>VLOOKUP(14,R368:S391,2,0)</f>
        <v>0</v>
      </c>
      <c r="W381" s="95">
        <v>14</v>
      </c>
    </row>
    <row r="382" spans="1:23">
      <c r="A382" s="95">
        <v>15</v>
      </c>
      <c r="B382" s="95" t="str">
        <f>IF(Doubles!P78="",0,Doubles!P78)</f>
        <v>SANTOS 6-4 6-2</v>
      </c>
      <c r="C382" s="99" t="str">
        <f>IF(OR(LEFT(B382,LEN(B$16))=B$16,LEFT(B382,LEN(C$16))=C$16,LEN(B382)&lt;2),"",IF(B382="no pick","","Wrong pick"))</f>
        <v/>
      </c>
      <c r="E382" s="95">
        <f t="shared" si="140"/>
        <v>0</v>
      </c>
      <c r="G382" s="95" t="str">
        <f>IF(B382=0,"",IF(B382="no pick","No Pick",IF(LEFT(B382,LEN(B$16))=B$16,B$16,C$16)))</f>
        <v>santos</v>
      </c>
      <c r="H382" s="95" t="str">
        <f t="shared" si="141"/>
        <v>2-0</v>
      </c>
      <c r="J382" s="97">
        <f>D$16</f>
        <v>1</v>
      </c>
      <c r="K382" s="95" t="str">
        <f t="shared" si="142"/>
        <v>PTS</v>
      </c>
      <c r="L382" s="95" t="str">
        <f t="shared" si="143"/>
        <v>6-4 6-2</v>
      </c>
      <c r="M382" s="95" t="str">
        <f t="shared" si="144"/>
        <v>64 62</v>
      </c>
      <c r="N382" s="95" t="str">
        <f t="shared" si="145"/>
        <v>64 62</v>
      </c>
      <c r="O382" s="95" t="str">
        <f t="shared" si="146"/>
        <v>64 62</v>
      </c>
      <c r="P382" s="95" t="str">
        <f t="shared" si="147"/>
        <v>64 62</v>
      </c>
      <c r="Q382" s="95">
        <f>IF(AND(G382=T$16,LEN(G382)&gt;1),1,0)</f>
        <v>0</v>
      </c>
      <c r="R382" s="97">
        <f>Doubles!G$16</f>
        <v>15</v>
      </c>
      <c r="S382" s="95">
        <f>IF(AND(H382=H$16,LEN(H382)&gt;1,Q382=1),1,0)</f>
        <v>0</v>
      </c>
      <c r="V382" s="97">
        <f>VLOOKUP(15,R368:S391,2,0)</f>
        <v>0</v>
      </c>
      <c r="W382" s="95">
        <v>15</v>
      </c>
    </row>
    <row r="383" spans="1:23">
      <c r="A383" s="95">
        <v>16</v>
      </c>
      <c r="B383" s="95" t="str">
        <f>IF(Doubles!P79="",0,Doubles!P79)</f>
        <v>LOJDA 6-3 6-1</v>
      </c>
      <c r="C383" s="99" t="str">
        <f>IF(OR(LEFT(B383,LEN(B$17))=B$17,LEFT(B383,LEN(C$17))=C$17,LEN(B383)&lt;2),"",IF(B383="no pick","","Wrong pick"))</f>
        <v/>
      </c>
      <c r="E383" s="95">
        <f t="shared" si="140"/>
        <v>0</v>
      </c>
      <c r="G383" s="95" t="str">
        <f>IF(B383=0,"",IF(B383="no pick","No Pick",IF(LEFT(B383,LEN(B$17))=B$17,B$17,C$17)))</f>
        <v>lojda</v>
      </c>
      <c r="H383" s="95" t="str">
        <f t="shared" si="141"/>
        <v>2-0</v>
      </c>
      <c r="J383" s="97">
        <f>D$17</f>
        <v>1</v>
      </c>
      <c r="K383" s="95" t="str">
        <f t="shared" si="142"/>
        <v>PTS</v>
      </c>
      <c r="L383" s="95" t="str">
        <f t="shared" si="143"/>
        <v>6-3 6-1</v>
      </c>
      <c r="M383" s="95" t="str">
        <f t="shared" si="144"/>
        <v>63 61</v>
      </c>
      <c r="N383" s="95" t="str">
        <f t="shared" si="145"/>
        <v>63 61</v>
      </c>
      <c r="O383" s="95" t="str">
        <f t="shared" si="146"/>
        <v>63 61</v>
      </c>
      <c r="P383" s="95" t="str">
        <f t="shared" si="147"/>
        <v>63 61</v>
      </c>
      <c r="Q383" s="95">
        <f>IF(AND(G383=T$17,LEN(G383)&gt;1),1,0)</f>
        <v>0</v>
      </c>
      <c r="R383" s="97">
        <f>Doubles!G$17</f>
        <v>16</v>
      </c>
      <c r="S383" s="95">
        <f>IF(AND(H383=H$17,LEN(H383)&gt;1,Q383=1),1,0)</f>
        <v>0</v>
      </c>
      <c r="V383" s="97">
        <f>VLOOKUP(16,R368:S391,2,0)</f>
        <v>0</v>
      </c>
      <c r="W383" s="95">
        <v>16</v>
      </c>
    </row>
    <row r="384" spans="1:23">
      <c r="A384" s="95">
        <v>17</v>
      </c>
      <c r="B384" s="95">
        <f>IF(Doubles!P80="",0,Doubles!P80)</f>
        <v>0</v>
      </c>
      <c r="C384" s="99" t="str">
        <f>IF(OR(LEFT(B384,LEN(B$18))=B$18,LEFT(B384,LEN(C$18))=C$18,LEN(B384)&lt;2),"",IF(B384="no pick","","Wrong pick"))</f>
        <v/>
      </c>
      <c r="E384" s="95">
        <f t="shared" si="140"/>
        <v>0</v>
      </c>
      <c r="G384" s="95" t="str">
        <f>IF(B384=0,"",IF(B384="no pick","No Pick",IF(LEFT(B384,LEN(B$18))=B$18,B$18,C$18)))</f>
        <v/>
      </c>
      <c r="H384" s="95" t="str">
        <f t="shared" si="141"/>
        <v>0-0</v>
      </c>
      <c r="J384" s="95">
        <f>D$18</f>
        <v>0</v>
      </c>
      <c r="K384" s="95" t="str">
        <f t="shared" si="142"/>
        <v>SR</v>
      </c>
      <c r="L384" s="95" t="str">
        <f t="shared" si="143"/>
        <v>0</v>
      </c>
      <c r="M384" s="95" t="str">
        <f t="shared" si="144"/>
        <v>0</v>
      </c>
      <c r="N384" s="95" t="str">
        <f t="shared" si="145"/>
        <v>0</v>
      </c>
      <c r="O384" s="95" t="str">
        <f t="shared" si="146"/>
        <v>0</v>
      </c>
      <c r="P384" s="95" t="str">
        <f t="shared" si="147"/>
        <v>0</v>
      </c>
      <c r="Q384" s="95">
        <f>IF(AND(G384=T$18,LEN(G384)&gt;1),1,0)</f>
        <v>0</v>
      </c>
      <c r="R384" s="97">
        <f>Doubles!G$18</f>
        <v>17</v>
      </c>
      <c r="S384" s="95">
        <f>IF(AND(H384=H$18,LEN(H384)&gt;1,Q384=1),1,0)</f>
        <v>0</v>
      </c>
      <c r="V384" s="97">
        <f>VLOOKUP(17,R368:S391,2,0)</f>
        <v>0</v>
      </c>
      <c r="W384" s="95">
        <v>17</v>
      </c>
    </row>
    <row r="385" spans="1:29">
      <c r="A385" s="95">
        <v>18</v>
      </c>
      <c r="B385" s="95">
        <f>IF(Doubles!P81="",0,Doubles!P81)</f>
        <v>0</v>
      </c>
      <c r="C385" s="99" t="str">
        <f>IF(OR(LEFT(B385,LEN(B$19))=B$19,LEFT(B385,LEN(C$19))=C$19,LEN(B385)&lt;2),"",IF(B385="no pick","","Wrong pick"))</f>
        <v/>
      </c>
      <c r="E385" s="95">
        <f t="shared" si="140"/>
        <v>0</v>
      </c>
      <c r="G385" s="95" t="str">
        <f>IF(B385=0,"",IF(B385="no pick","No Pick",IF(LEFT(B385,LEN(B$19))=B$19,B$19,C$19)))</f>
        <v/>
      </c>
      <c r="H385" s="95" t="str">
        <f t="shared" si="141"/>
        <v>0-0</v>
      </c>
      <c r="J385" s="95">
        <f>D$19</f>
        <v>0</v>
      </c>
      <c r="K385" s="95" t="str">
        <f t="shared" si="142"/>
        <v>SR</v>
      </c>
      <c r="L385" s="95" t="str">
        <f t="shared" si="143"/>
        <v>0</v>
      </c>
      <c r="M385" s="95" t="str">
        <f t="shared" si="144"/>
        <v>0</v>
      </c>
      <c r="N385" s="95" t="str">
        <f t="shared" si="145"/>
        <v>0</v>
      </c>
      <c r="O385" s="95" t="str">
        <f t="shared" si="146"/>
        <v>0</v>
      </c>
      <c r="P385" s="95" t="str">
        <f t="shared" si="147"/>
        <v>0</v>
      </c>
      <c r="Q385" s="95">
        <f>IF(AND(G385=T$19,LEN(G385)&gt;1),1,0)</f>
        <v>0</v>
      </c>
      <c r="R385" s="97">
        <f>Doubles!G$19</f>
        <v>18</v>
      </c>
      <c r="S385" s="95">
        <f>IF(AND(H385=H$19,LEN(H385)&gt;1,Q385=1),1,0)</f>
        <v>0</v>
      </c>
      <c r="V385" s="97">
        <f>VLOOKUP(18,R368:S391,2,0)</f>
        <v>0</v>
      </c>
      <c r="W385" s="95">
        <v>18</v>
      </c>
    </row>
    <row r="386" spans="1:29">
      <c r="A386" s="95">
        <v>19</v>
      </c>
      <c r="B386" s="95">
        <f>IF(Doubles!P82="",0,Doubles!P82)</f>
        <v>0</v>
      </c>
      <c r="C386" s="99" t="str">
        <f>IF(OR(LEFT(B386,LEN(B$20))=B$20,LEFT(B386,LEN(C$20))=C$20,LEN(B386)&lt;2),"",IF(B386="no pick","","Wrong pick"))</f>
        <v/>
      </c>
      <c r="E386" s="95">
        <f t="shared" si="140"/>
        <v>0</v>
      </c>
      <c r="G386" s="95" t="str">
        <f>IF(B386=0,"",IF(B386="no pick","No Pick",IF(LEFT(B386,LEN(B$20))=B$20,B$20,C$20)))</f>
        <v/>
      </c>
      <c r="H386" s="95" t="str">
        <f t="shared" si="141"/>
        <v>0-0</v>
      </c>
      <c r="J386" s="95">
        <f>D$20</f>
        <v>0</v>
      </c>
      <c r="K386" s="95" t="str">
        <f t="shared" si="142"/>
        <v>SR</v>
      </c>
      <c r="L386" s="95" t="str">
        <f t="shared" si="143"/>
        <v>0</v>
      </c>
      <c r="M386" s="95" t="str">
        <f t="shared" si="144"/>
        <v>0</v>
      </c>
      <c r="N386" s="95" t="str">
        <f t="shared" si="145"/>
        <v>0</v>
      </c>
      <c r="O386" s="95" t="str">
        <f t="shared" si="146"/>
        <v>0</v>
      </c>
      <c r="P386" s="95" t="str">
        <f t="shared" si="147"/>
        <v>0</v>
      </c>
      <c r="Q386" s="95">
        <f>IF(AND(G386=T$20,LEN(G386)&gt;1),1,0)</f>
        <v>0</v>
      </c>
      <c r="R386" s="97">
        <f>Doubles!G$20</f>
        <v>19</v>
      </c>
      <c r="S386" s="95">
        <f>IF(AND(H386=H$20,LEN(H386)&gt;1,Q386=1),1,0)</f>
        <v>0</v>
      </c>
      <c r="V386" s="97">
        <f>VLOOKUP(19,R368:S391,2,0)</f>
        <v>0</v>
      </c>
      <c r="W386" s="95">
        <v>19</v>
      </c>
    </row>
    <row r="387" spans="1:29">
      <c r="A387" s="95">
        <v>20</v>
      </c>
      <c r="B387" s="95">
        <f>IF(Doubles!P83="",0,Doubles!P83)</f>
        <v>0</v>
      </c>
      <c r="C387" s="99" t="str">
        <f>IF(OR(LEFT(B387,LEN(B$21))=B$21,LEFT(B387,LEN(C$21))=C$21,LEN(B387)&lt;2),"",IF(B387="no pick","","Wrong pick"))</f>
        <v/>
      </c>
      <c r="E387" s="95">
        <f t="shared" si="140"/>
        <v>0</v>
      </c>
      <c r="G387" s="95" t="str">
        <f>IF(B387=0,"",IF(B387="no pick","No Pick",IF(LEFT(B387,LEN(B$21))=B$21,B$21,C$21)))</f>
        <v/>
      </c>
      <c r="H387" s="95" t="str">
        <f t="shared" si="141"/>
        <v>0-0</v>
      </c>
      <c r="J387" s="95">
        <f>D$21</f>
        <v>0</v>
      </c>
      <c r="K387" s="95" t="str">
        <f t="shared" si="142"/>
        <v>SR</v>
      </c>
      <c r="L387" s="95" t="str">
        <f t="shared" si="143"/>
        <v>0</v>
      </c>
      <c r="M387" s="95" t="str">
        <f t="shared" si="144"/>
        <v>0</v>
      </c>
      <c r="N387" s="95" t="str">
        <f t="shared" si="145"/>
        <v>0</v>
      </c>
      <c r="O387" s="95" t="str">
        <f t="shared" si="146"/>
        <v>0</v>
      </c>
      <c r="P387" s="95" t="str">
        <f t="shared" si="147"/>
        <v>0</v>
      </c>
      <c r="Q387" s="95">
        <f>IF(AND(G387=T$21,LEN(G387)&gt;1),1,0)</f>
        <v>0</v>
      </c>
      <c r="R387" s="97">
        <f>Doubles!G$21</f>
        <v>20</v>
      </c>
      <c r="S387" s="95">
        <f>IF(AND(H387=H$21,LEN(H387)&gt;1,Q387=1),1,0)</f>
        <v>0</v>
      </c>
      <c r="V387" s="97">
        <f>VLOOKUP(20,R368:S391,2,0)</f>
        <v>0</v>
      </c>
      <c r="W387" s="95">
        <v>20</v>
      </c>
    </row>
    <row r="388" spans="1:29">
      <c r="A388" s="95">
        <v>21</v>
      </c>
      <c r="B388" s="95">
        <f>IF(Doubles!P84="",0,Doubles!P84)</f>
        <v>0</v>
      </c>
      <c r="C388" s="99" t="str">
        <f>IF(OR(LEFT(B388,LEN(B$22))=B$22,LEFT(B388,LEN(C$22))=C$22,LEN(B388)&lt;2),"",IF(B388="no pick","","Wrong pick"))</f>
        <v/>
      </c>
      <c r="E388" s="95">
        <f t="shared" si="140"/>
        <v>0</v>
      </c>
      <c r="G388" s="95" t="str">
        <f>IF(B388=0,"",IF(B388="no pick","No Pick",IF(LEFT(B388,LEN(B$22))=B$22,B$22,C$22)))</f>
        <v/>
      </c>
      <c r="H388" s="95" t="str">
        <f t="shared" si="141"/>
        <v>0-0</v>
      </c>
      <c r="J388" s="95">
        <f>D$22</f>
        <v>0</v>
      </c>
      <c r="K388" s="95" t="str">
        <f t="shared" si="142"/>
        <v>SR</v>
      </c>
      <c r="L388" s="95" t="str">
        <f t="shared" si="143"/>
        <v>0</v>
      </c>
      <c r="M388" s="95" t="str">
        <f t="shared" si="144"/>
        <v>0</v>
      </c>
      <c r="N388" s="95" t="str">
        <f t="shared" si="145"/>
        <v>0</v>
      </c>
      <c r="O388" s="95" t="str">
        <f t="shared" si="146"/>
        <v>0</v>
      </c>
      <c r="P388" s="95" t="str">
        <f t="shared" si="147"/>
        <v>0</v>
      </c>
      <c r="Q388" s="95">
        <f>IF(AND(G388=T$22,LEN(G388)&gt;1),1,0)</f>
        <v>0</v>
      </c>
      <c r="R388" s="97">
        <f>Doubles!G$22</f>
        <v>21</v>
      </c>
      <c r="S388" s="95">
        <f>IF(AND(H388=H$22,LEN(H388)&gt;1,Q388=1),1,0)</f>
        <v>0</v>
      </c>
      <c r="V388" s="97">
        <f>VLOOKUP(21,R368:S391,2,0)</f>
        <v>0</v>
      </c>
      <c r="W388" s="95">
        <v>21</v>
      </c>
    </row>
    <row r="389" spans="1:29">
      <c r="A389" s="95">
        <v>22</v>
      </c>
      <c r="B389" s="95">
        <f>IF(Doubles!P85="",0,Doubles!P85)</f>
        <v>0</v>
      </c>
      <c r="C389" s="99" t="str">
        <f>IF(OR(LEFT(B389,LEN(B$23))=B$23,LEFT(B389,LEN(C$23))=C$23,LEN(B389)&lt;2),"",IF(B389="no pick","","Wrong pick"))</f>
        <v/>
      </c>
      <c r="E389" s="95">
        <f t="shared" si="140"/>
        <v>0</v>
      </c>
      <c r="G389" s="95" t="str">
        <f>IF(B389=0,"",IF(B389="no pick","No Pick",IF(LEFT(B389,LEN(B$23))=B$23,B$23,C$23)))</f>
        <v/>
      </c>
      <c r="H389" s="95" t="str">
        <f t="shared" si="141"/>
        <v>0-0</v>
      </c>
      <c r="J389" s="95">
        <f>D$23</f>
        <v>0</v>
      </c>
      <c r="K389" s="95" t="str">
        <f t="shared" si="142"/>
        <v>SR</v>
      </c>
      <c r="L389" s="95" t="str">
        <f t="shared" si="143"/>
        <v>0</v>
      </c>
      <c r="M389" s="95" t="str">
        <f t="shared" si="144"/>
        <v>0</v>
      </c>
      <c r="N389" s="95" t="str">
        <f t="shared" si="145"/>
        <v>0</v>
      </c>
      <c r="O389" s="95" t="str">
        <f t="shared" si="146"/>
        <v>0</v>
      </c>
      <c r="P389" s="95" t="str">
        <f t="shared" si="147"/>
        <v>0</v>
      </c>
      <c r="Q389" s="95">
        <f>IF(AND(G389=T$23,LEN(G389)&gt;1),1,0)</f>
        <v>0</v>
      </c>
      <c r="R389" s="97">
        <f>Doubles!G$23</f>
        <v>22</v>
      </c>
      <c r="S389" s="95">
        <f>IF(AND(H389=H$23,LEN(H389)&gt;1,Q389=1),1,0)</f>
        <v>0</v>
      </c>
      <c r="V389" s="97">
        <f>VLOOKUP(22,R368:S391,2,0)</f>
        <v>0</v>
      </c>
      <c r="W389" s="95">
        <v>22</v>
      </c>
    </row>
    <row r="390" spans="1:29">
      <c r="A390" s="95">
        <v>23</v>
      </c>
      <c r="B390" s="95">
        <f>IF(Doubles!P86="",0,Doubles!P86)</f>
        <v>0</v>
      </c>
      <c r="C390" s="99" t="str">
        <f>IF(OR(LEFT(B390,LEN(B$24))=B$24,LEFT(B390,LEN(C$24))=C$24,LEN(B390)&lt;2),"",IF(B390="no pick","","Wrong pick"))</f>
        <v/>
      </c>
      <c r="E390" s="95">
        <f t="shared" si="140"/>
        <v>0</v>
      </c>
      <c r="G390" s="95" t="str">
        <f>IF(B390=0,"",IF(B390="no pick","No Pick",IF(LEFT(B390,LEN(B$24))=B$24,B$24,C$24)))</f>
        <v/>
      </c>
      <c r="H390" s="95" t="str">
        <f t="shared" si="141"/>
        <v>0-0</v>
      </c>
      <c r="J390" s="95">
        <f>D$24</f>
        <v>0</v>
      </c>
      <c r="K390" s="95" t="str">
        <f t="shared" si="142"/>
        <v>SR</v>
      </c>
      <c r="L390" s="95" t="str">
        <f t="shared" si="143"/>
        <v>0</v>
      </c>
      <c r="M390" s="95" t="str">
        <f t="shared" si="144"/>
        <v>0</v>
      </c>
      <c r="N390" s="95" t="str">
        <f t="shared" si="145"/>
        <v>0</v>
      </c>
      <c r="O390" s="95" t="str">
        <f t="shared" si="146"/>
        <v>0</v>
      </c>
      <c r="P390" s="95" t="str">
        <f t="shared" si="147"/>
        <v>0</v>
      </c>
      <c r="Q390" s="95">
        <f>IF(AND(G390=T$24,LEN(G390)&gt;1),1,0)</f>
        <v>0</v>
      </c>
      <c r="R390" s="97">
        <f>Doubles!G$24</f>
        <v>23</v>
      </c>
      <c r="S390" s="95">
        <f>IF(AND(H390=H$24,LEN(H390)&gt;1,Q390=1),1,0)</f>
        <v>0</v>
      </c>
      <c r="V390" s="97">
        <f>VLOOKUP(23,R368:S391,2,0)</f>
        <v>0</v>
      </c>
      <c r="W390" s="95">
        <v>23</v>
      </c>
    </row>
    <row r="391" spans="1:29">
      <c r="A391" s="95">
        <v>24</v>
      </c>
      <c r="B391" s="95">
        <f>IF(Doubles!P87="",0,Doubles!P87)</f>
        <v>0</v>
      </c>
      <c r="C391" s="99" t="str">
        <f>IF(OR(LEFT(B391,LEN(B$25))=B$25,LEFT(B391,LEN(C$25))=C$25,LEN(B391)&lt;2),"",IF(B391="no pick","","Wrong pick"))</f>
        <v/>
      </c>
      <c r="E391" s="95">
        <f t="shared" si="140"/>
        <v>0</v>
      </c>
      <c r="G391" s="95" t="str">
        <f>IF(B391=0,"",IF(B391="no pick","No Pick",IF(LEFT(B391,LEN(B$25))=B$25,B$25,C$25)))</f>
        <v/>
      </c>
      <c r="H391" s="95" t="str">
        <f t="shared" si="141"/>
        <v>0-0</v>
      </c>
      <c r="J391" s="95">
        <f>D$25</f>
        <v>0</v>
      </c>
      <c r="K391" s="95" t="str">
        <f t="shared" si="142"/>
        <v>SR</v>
      </c>
      <c r="L391" s="95" t="str">
        <f t="shared" si="143"/>
        <v>0</v>
      </c>
      <c r="M391" s="95" t="str">
        <f t="shared" si="144"/>
        <v>0</v>
      </c>
      <c r="N391" s="95" t="str">
        <f t="shared" si="145"/>
        <v>0</v>
      </c>
      <c r="O391" s="95" t="str">
        <f t="shared" si="146"/>
        <v>0</v>
      </c>
      <c r="P391" s="95" t="str">
        <f t="shared" si="147"/>
        <v>0</v>
      </c>
      <c r="Q391" s="95">
        <f>IF(AND(G391=T$25,LEN(G391)&gt;1),1,0)</f>
        <v>0</v>
      </c>
      <c r="R391" s="97">
        <f>Doubles!G$25</f>
        <v>24</v>
      </c>
      <c r="S391" s="95">
        <f>IF(AND(H391=H$25,LEN(H391)&gt;1,Q391=1),1,0)</f>
        <v>0</v>
      </c>
      <c r="V391" s="97">
        <f>VLOOKUP(24,R368:S391,2,0)</f>
        <v>0</v>
      </c>
      <c r="W391" s="95">
        <v>24</v>
      </c>
    </row>
    <row r="392" spans="1:29">
      <c r="L392" s="98" t="s">
        <v>120</v>
      </c>
      <c r="W392" s="95">
        <v>25</v>
      </c>
    </row>
    <row r="393" spans="1:29">
      <c r="A393" s="95" t="str">
        <f>IF(LEN(VLOOKUP(B393,Doubles!$B$2:$D$17,3,0))&gt;0,VLOOKUP(B393,Doubles!$B$2:$D$17,3,0),"")</f>
        <v/>
      </c>
      <c r="B393" s="96" t="str">
        <f>Doubles!O63</f>
        <v>Southend Aussies</v>
      </c>
      <c r="C393" s="96">
        <v>3</v>
      </c>
      <c r="D393" s="95" t="str">
        <f>VLOOKUP(B393,Doubles!$B$2:$F$17,5,0)</f>
        <v>AUS</v>
      </c>
      <c r="J393" s="95" t="s">
        <v>88</v>
      </c>
      <c r="Q393" s="95" t="s">
        <v>121</v>
      </c>
      <c r="S393" s="95" t="s">
        <v>122</v>
      </c>
      <c r="T393" s="95" t="str">
        <f>B393</f>
        <v>Southend Aussies</v>
      </c>
      <c r="V393" s="95" t="s">
        <v>122</v>
      </c>
    </row>
    <row r="394" spans="1:29">
      <c r="A394" s="95">
        <v>1</v>
      </c>
      <c r="B394" s="95" t="str">
        <f>IF(Doubles!O64="",0,Doubles!O64)</f>
        <v>TRAVAGLIA 7-5 4-6 6-2</v>
      </c>
      <c r="C394" s="99" t="str">
        <f>IF(OR(LEFT(B394,LEN(B$2))=B$2,LEFT(B394,LEN(C$2))=C$2,LEN(B394)&lt;2),"",IF(B394="no pick","","Wrong pick"))</f>
        <v/>
      </c>
      <c r="D394" s="95">
        <f t="shared" ref="D394:D417" si="148">IF(G394=G420,0,1)</f>
        <v>0</v>
      </c>
      <c r="E394" s="95">
        <f t="shared" ref="E394:E417" si="149">IF(AND($I$2=J394,B394=0),1,0)</f>
        <v>0</v>
      </c>
      <c r="F394" s="95" t="str">
        <f>IF(AND(SUM(E394:E417)=$I$4,NOT(B393="Bye")),"Missing picks from "&amp;B393&amp;" ","")</f>
        <v/>
      </c>
      <c r="G394" s="95" t="str">
        <f>IF(B394=0,"",IF(B394="no pick","No Pick",IF(LEFT(B394,LEN(B$2))=B$2,B$2,C$2)))</f>
        <v>Travaglia</v>
      </c>
      <c r="H394" s="95" t="str">
        <f t="shared" ref="H394:H417" si="150">IF(L394="","",IF(K394="PTS",IF(LEN(O394)&lt;8,"2-0","2-1"),LEFT(O394,1)&amp;"-"&amp;RIGHT(O394,1)))</f>
        <v>2-1</v>
      </c>
      <c r="I394" s="95" t="str">
        <f>IF(AND(J394=$I$2,F$2=0,NOT(E$2="")),IF(OR(AND(Y394=AA394,Z394=AB394),AND(Y394=AB394,Z394=AA394)),"",IF(AND(Y394=Z394,AA394=AB394),Y394&amp;" +2 v. "&amp;AA394&amp;" +2, ",IF(Y394=AA394,Z394&amp;" v. "&amp;AB394&amp;", ",IF(Z394=AB394,Y394&amp;" v. "&amp;AA394&amp;", ",IF(Y394=AB394,Z394&amp;" v. "&amp;AA394&amp;", ",IF(Z394=AA394,Y394&amp;" v. "&amp;AB394&amp;", ",Y394&amp;" v. "&amp;AA394&amp;", "&amp;Z394&amp;" v. "&amp;AB394&amp;", ")))))),"")</f>
        <v/>
      </c>
      <c r="J394" s="97">
        <f>D$2</f>
        <v>1</v>
      </c>
      <c r="K394" s="95" t="str">
        <f t="shared" ref="K394:K417" si="151">IF(LEN(L394)&gt;0,IF(LEN(O394)&lt;4,"SR","PTS"),"")</f>
        <v>PTS</v>
      </c>
      <c r="L394" s="95" t="str">
        <f t="shared" ref="L394:L417" si="152">TRIM(RIGHT(B394,LEN(B394)-LEN(G394)))</f>
        <v>7-5 4-6 6-2</v>
      </c>
      <c r="M394" s="95" t="str">
        <f t="shared" ref="M394:M417" si="153">SUBSTITUTE(L394,"-","")</f>
        <v>75 46 62</v>
      </c>
      <c r="N394" s="95" t="str">
        <f t="shared" ref="N394:N417" si="154">SUBSTITUTE(M394,","," ")</f>
        <v>75 46 62</v>
      </c>
      <c r="O394" s="95" t="str">
        <f t="shared" ref="O394:O417" si="155">IF(AND(LEN(TRIM(SUBSTITUTE(P394,"/","")))&gt;6,OR(LEFT(TRIM(SUBSTITUTE(P394,"/","")),2)="20",LEFT(TRIM(SUBSTITUTE(P394,"/","")),2)="21")),RIGHT(TRIM(SUBSTITUTE(P394,"/","")),LEN(TRIM(SUBSTITUTE(P394,"/","")))-3),TRIM(SUBSTITUTE(P394,"/","")))</f>
        <v>75 46 62</v>
      </c>
      <c r="P394" s="95" t="str">
        <f t="shared" ref="P394:P417" si="156">SUBSTITUTE(N394,":","")</f>
        <v>75 46 62</v>
      </c>
      <c r="Q394" s="95">
        <f>IF(AND(G394=T$2,LEN(G394)&gt;1),1,0)</f>
        <v>0</v>
      </c>
      <c r="R394" s="97">
        <f>Doubles!G$2</f>
        <v>1</v>
      </c>
      <c r="S394" s="95">
        <f>IF(AND(H394=H$2,LEN(H394)&gt;1,Q394=1),1,0)</f>
        <v>0</v>
      </c>
      <c r="T394" s="95" t="str">
        <f>" SR Differences: "&amp;IF(LEN(I394&amp;I395&amp;I396&amp;I397&amp;I398&amp;I399&amp;I400&amp;I401&amp;I402&amp;I403&amp;I404&amp;I405&amp;I406&amp;I407&amp;I408&amp;I409)&lt;3,"None..",I394&amp;I395&amp;I396&amp;I397&amp;I398&amp;I399&amp;I400&amp;I401&amp;I402&amp;I403&amp;I404&amp;I405&amp;I406&amp;I407&amp;I408&amp;I409)</f>
        <v xml:space="preserve"> SR Differences: None..</v>
      </c>
      <c r="V394" s="97">
        <f>VLOOKUP(1,R394:S417,2,0)</f>
        <v>0</v>
      </c>
      <c r="W394" s="95" t="str">
        <f t="shared" ref="W394:W417" si="157">IF(J342=$I$2,IF(OR(G342&amp;G394=G368&amp;G420,G342&amp;G394=G420&amp;G368),"",IF(G368=G420,G368,IF(OR(G342=G368,G368=G394),G420,IF(OR(G420=G342,G394=G420),G368,G368&amp;", "&amp;G420)))),"")</f>
        <v/>
      </c>
      <c r="X394" s="95">
        <f>IF(F$2=0,IF(AND(G368=G420,NOT(G342=G368),NOT(G394=G420),LEN(W342)&gt;0),2,IF(LEN(W342)=0,0,1)),0)</f>
        <v>0</v>
      </c>
      <c r="AC394" s="95" t="str">
        <f>IF(AND(LEN(W394)&gt;0,F$2=0),IF(X394=2,W394&amp;" +2, ",W394&amp;", "),"")</f>
        <v/>
      </c>
    </row>
    <row r="395" spans="1:29">
      <c r="A395" s="95">
        <v>2</v>
      </c>
      <c r="B395" s="95" t="str">
        <f>IF(Doubles!O65="",0,Doubles!O65)</f>
        <v>MACHADO 6-3 6-1</v>
      </c>
      <c r="C395" s="99" t="str">
        <f>IF(OR(LEFT(B395,LEN(B$3))=B$3,LEFT(B395,LEN(C$3))=C$3,LEN(B395)&lt;2),"",IF(B395="no pick","","Wrong pick"))</f>
        <v/>
      </c>
      <c r="D395" s="95">
        <f t="shared" si="148"/>
        <v>0</v>
      </c>
      <c r="E395" s="95">
        <f t="shared" si="149"/>
        <v>0</v>
      </c>
      <c r="G395" s="95" t="str">
        <f>IF(B395=0,"",IF(B395="no pick","No Pick",IF(LEFT(B395,LEN(B$3))=B$3,B$3,C$3)))</f>
        <v>Machado</v>
      </c>
      <c r="H395" s="95" t="str">
        <f t="shared" si="150"/>
        <v>2-0</v>
      </c>
      <c r="I395" s="95" t="str">
        <f>IF(AND(J395=$I$2,F$3=0,NOT(E$3="")),IF(OR(AND(Y395=AA395,Z395=AB395),AND(Y395=AB395,Z395=AA395)),"",IF(AND(Y395=Z395,AA395=AB395),Y395&amp;" +2 v. "&amp;AA395&amp;" +2, ",IF(Y395=AA395,Z395&amp;" v. "&amp;AB395&amp;", ",IF(Z395=AB395,Y395&amp;" v. "&amp;AA395&amp;", ",IF(Y395=AB395,Z395&amp;" v. "&amp;AA395&amp;", ",IF(Z395=AA395,Y395&amp;" v. "&amp;AB395&amp;", ",Y395&amp;" v. "&amp;AA395&amp;", "&amp;Z395&amp;" v. "&amp;AB395&amp;", ")))))),"")</f>
        <v/>
      </c>
      <c r="J395" s="97">
        <f>D$3</f>
        <v>1</v>
      </c>
      <c r="K395" s="95" t="str">
        <f t="shared" si="151"/>
        <v>PTS</v>
      </c>
      <c r="L395" s="95" t="str">
        <f t="shared" si="152"/>
        <v>6-3 6-1</v>
      </c>
      <c r="M395" s="95" t="str">
        <f t="shared" si="153"/>
        <v>63 61</v>
      </c>
      <c r="N395" s="95" t="str">
        <f t="shared" si="154"/>
        <v>63 61</v>
      </c>
      <c r="O395" s="95" t="str">
        <f t="shared" si="155"/>
        <v>63 61</v>
      </c>
      <c r="P395" s="95" t="str">
        <f t="shared" si="156"/>
        <v>63 61</v>
      </c>
      <c r="Q395" s="95">
        <f>IF(AND(G395=T$3,LEN(G395)&gt;1),1,0)</f>
        <v>0</v>
      </c>
      <c r="R395" s="97">
        <f>Doubles!G$3</f>
        <v>2</v>
      </c>
      <c r="S395" s="95">
        <f>IF(AND(H395=H$3,LEN(H395)&gt;1,Q395=1),1,0)</f>
        <v>0</v>
      </c>
      <c r="T395" s="95" t="e">
        <f>IF(T396&gt;0,LEFT(E394,LEN(E394)-2)&amp;" vs. "&amp;LEFT(E420,LEN(E420)-2),"Same winners;")</f>
        <v>#VALUE!</v>
      </c>
      <c r="V395" s="97">
        <f>VLOOKUP(2,R394:S417,2,0)</f>
        <v>0</v>
      </c>
      <c r="W395" s="95" t="str">
        <f t="shared" si="157"/>
        <v/>
      </c>
      <c r="X395" s="95">
        <f>IF(F$3=0,IF(AND(G369=G421,NOT(G343=G369),NOT(G395=G421),LEN(W343)&gt;0),2,IF(LEN(W343)=0,0,1)),0)</f>
        <v>0</v>
      </c>
      <c r="AC395" s="95" t="str">
        <f>IF(AND(LEN(W395)&gt;0,F$3=0),IF(X395=2,W395&amp;" +2, ",W395&amp;", "),"")</f>
        <v/>
      </c>
    </row>
    <row r="396" spans="1:29">
      <c r="A396" s="95">
        <v>3</v>
      </c>
      <c r="B396" s="95" t="str">
        <f>IF(Doubles!O66="",0,Doubles!O66)</f>
        <v>JUNQUEIRA 6-4 7-5</v>
      </c>
      <c r="C396" s="99" t="str">
        <f>IF(OR(LEFT(B396,LEN(B$4))=B$4,LEFT(B396,LEN(C$4))=C$4,LEN(B396)&lt;2),"",IF(B396="no pick","","Wrong pick"))</f>
        <v/>
      </c>
      <c r="D396" s="95">
        <f t="shared" si="148"/>
        <v>0</v>
      </c>
      <c r="E396" s="95">
        <f t="shared" si="149"/>
        <v>0</v>
      </c>
      <c r="G396" s="95" t="str">
        <f>IF(B396=0,"",IF(B396="no pick","No Pick",IF(LEFT(B396,LEN(B$4))=B$4,B$4,C$4)))</f>
        <v>Junqueira</v>
      </c>
      <c r="H396" s="95" t="str">
        <f t="shared" si="150"/>
        <v>2-0</v>
      </c>
      <c r="I396" s="95" t="str">
        <f>IF(AND(J396=$I$2,F$4=0,NOT(E$4="")),IF(OR(AND(Y396=AA396,Z396=AB396),AND(Y396=AB396,Z396=AA396)),"",IF(AND(Y396=Z396,AA396=AB396),Y396&amp;" +2 v. "&amp;AA396&amp;" +2, ",IF(Y396=AA396,Z396&amp;" v. "&amp;AB396&amp;", ",IF(Z396=AB396,Y396&amp;" v. "&amp;AA396&amp;", ",IF(Y396=AB396,Z396&amp;" v. "&amp;AA396&amp;", ",IF(Z396=AA396,Y396&amp;" v. "&amp;AB396&amp;", ",Y396&amp;" v. "&amp;AA396&amp;", "&amp;Z396&amp;" v. "&amp;AB396&amp;", ")))))),"")</f>
        <v/>
      </c>
      <c r="J396" s="97">
        <f>D$4</f>
        <v>1</v>
      </c>
      <c r="K396" s="95" t="str">
        <f t="shared" si="151"/>
        <v>PTS</v>
      </c>
      <c r="L396" s="95" t="str">
        <f t="shared" si="152"/>
        <v>6-4 7-5</v>
      </c>
      <c r="M396" s="95" t="str">
        <f t="shared" si="153"/>
        <v>64 75</v>
      </c>
      <c r="N396" s="95" t="str">
        <f t="shared" si="154"/>
        <v>64 75</v>
      </c>
      <c r="O396" s="95" t="str">
        <f t="shared" si="155"/>
        <v>64 75</v>
      </c>
      <c r="P396" s="95" t="str">
        <f t="shared" si="156"/>
        <v>64 75</v>
      </c>
      <c r="Q396" s="95">
        <f>IF(AND(G396=T$4,LEN(G396)&gt;1),1,0)</f>
        <v>0</v>
      </c>
      <c r="R396" s="97">
        <f>Doubles!G$4</f>
        <v>3</v>
      </c>
      <c r="S396" s="95">
        <f>IF(AND(H396=H$4,LEN(H396)&gt;1,Q396=1),1,0)</f>
        <v>0</v>
      </c>
      <c r="T396" s="101">
        <f>SUMIF(J394:J409,$I$2,D394:D409)</f>
        <v>1</v>
      </c>
      <c r="V396" s="97">
        <f>VLOOKUP(3,R394:S417,2,0)</f>
        <v>0</v>
      </c>
      <c r="W396" s="95" t="str">
        <f t="shared" si="157"/>
        <v/>
      </c>
      <c r="X396" s="95">
        <f>IF(F$4=0,IF(AND(G370=G422,NOT(G344=G370),NOT(G396=G422),LEN(W344)&gt;0),2,IF(LEN(W344)=0,0,1)),0)</f>
        <v>0</v>
      </c>
      <c r="AC396" s="95" t="str">
        <f>IF(AND(LEN(W396)&gt;0,F$4=0),IF(X396=2,W396&amp;" +2, ",W396&amp;", "),"")</f>
        <v/>
      </c>
    </row>
    <row r="397" spans="1:29">
      <c r="A397" s="95">
        <v>4</v>
      </c>
      <c r="B397" s="95" t="str">
        <f>IF(Doubles!O67="",0,Doubles!O67)</f>
        <v>GAIO 6-4 4-6 7-5</v>
      </c>
      <c r="C397" s="99" t="str">
        <f>IF(OR(LEFT(B397,LEN(B$5))=B$5,LEFT(B397,LEN(C$5))=C$5,LEN(B397)&lt;2),"",IF(B397="no pick","","Wrong pick"))</f>
        <v/>
      </c>
      <c r="D397" s="95">
        <f t="shared" si="148"/>
        <v>0</v>
      </c>
      <c r="E397" s="95">
        <f t="shared" si="149"/>
        <v>0</v>
      </c>
      <c r="G397" s="95" t="str">
        <f>IF(B397=0,"",IF(B397="no pick","No Pick",IF(LEFT(B397,LEN(B$5))=B$5,B$5,C$5)))</f>
        <v>Gaio</v>
      </c>
      <c r="H397" s="95" t="str">
        <f t="shared" si="150"/>
        <v>2-1</v>
      </c>
      <c r="I397" s="95" t="str">
        <f>IF(AND(J397=$I$2,F$5=0,NOT(E$5="")),IF(OR(AND(Y397=AA397,Z397=AB397),AND(Y397=AB397,Z397=AA397)),"",IF(AND(Y397=Z397,AA397=AB397),Y397&amp;" +2 v. "&amp;AA397&amp;" +2, ",IF(Y397=AA397,Z397&amp;" v. "&amp;AB397&amp;", ",IF(Z397=AB397,Y397&amp;" v. "&amp;AA397&amp;", ",IF(Y397=AB397,Z397&amp;" v. "&amp;AA397&amp;", ",IF(Z397=AA397,Y397&amp;" v. "&amp;AB397&amp;", ",Y397&amp;" v. "&amp;AA397&amp;", "&amp;Z397&amp;" v. "&amp;AB397&amp;", ")))))),"")</f>
        <v/>
      </c>
      <c r="J397" s="97">
        <f>D$5</f>
        <v>1</v>
      </c>
      <c r="K397" s="95" t="str">
        <f t="shared" si="151"/>
        <v>PTS</v>
      </c>
      <c r="L397" s="95" t="str">
        <f t="shared" si="152"/>
        <v>6-4 4-6 7-5</v>
      </c>
      <c r="M397" s="95" t="str">
        <f t="shared" si="153"/>
        <v>64 46 75</v>
      </c>
      <c r="N397" s="95" t="str">
        <f t="shared" si="154"/>
        <v>64 46 75</v>
      </c>
      <c r="O397" s="95" t="str">
        <f t="shared" si="155"/>
        <v>64 46 75</v>
      </c>
      <c r="P397" s="95" t="str">
        <f t="shared" si="156"/>
        <v>64 46 75</v>
      </c>
      <c r="Q397" s="95">
        <f>IF(AND(G397=T$5,LEN(G397)&gt;1),1,0)</f>
        <v>0</v>
      </c>
      <c r="R397" s="97">
        <f>Doubles!G$5</f>
        <v>4</v>
      </c>
      <c r="S397" s="95">
        <f>IF(AND(H397=H$5,LEN(H397)&gt;1,Q397=1),1,0)</f>
        <v>0</v>
      </c>
      <c r="U397" s="95" t="str">
        <f>AC342&amp;AC343&amp;AC344&amp;AC345&amp;AC346&amp;AC347&amp;AC348&amp;AC349&amp;AC350&amp;AC351&amp;AC352&amp;AC353&amp;AC354&amp;AC355&amp;AC356&amp;AC357&amp;AC358&amp;AC359&amp;AC360&amp;AC361&amp;AC362&amp;AC363&amp;AC364&amp;AC365</f>
        <v xml:space="preserve">Laranja, Lindell, matos, turini +2, Fligia, </v>
      </c>
      <c r="V397" s="97">
        <f>VLOOKUP(4,R394:S417,2,0)</f>
        <v>0</v>
      </c>
      <c r="W397" s="95" t="str">
        <f t="shared" si="157"/>
        <v>Gaio</v>
      </c>
      <c r="X397" s="95">
        <f>IF(F$5=0,IF(AND(G371=G423,NOT(G345=G371),NOT(G397=G423),LEN(W345)&gt;0),2,IF(LEN(W345)=0,0,1)),0)</f>
        <v>1</v>
      </c>
      <c r="AC397" s="95" t="str">
        <f>IF(AND(LEN(W397)&gt;0,F$5=0),IF(X397=2,W397&amp;" +2, ",W397&amp;", "),"")</f>
        <v xml:space="preserve">Gaio, </v>
      </c>
    </row>
    <row r="398" spans="1:29">
      <c r="A398" s="95">
        <v>5</v>
      </c>
      <c r="B398" s="95" t="str">
        <f>IF(Doubles!O68="",0,Doubles!O68)</f>
        <v>PODLIPBIK-CASTILLO 6-2 6-4</v>
      </c>
      <c r="C398" s="99" t="str">
        <f>IF(OR(LEFT(B398,LEN(B$6))=B$6,LEFT(B398,LEN(C$6))=C$6,LEN(B398)&lt;2),"",IF(B398="no pick","","Wrong pick"))</f>
        <v/>
      </c>
      <c r="D398" s="95">
        <f t="shared" si="148"/>
        <v>0</v>
      </c>
      <c r="E398" s="95">
        <f t="shared" si="149"/>
        <v>0</v>
      </c>
      <c r="G398" s="95" t="str">
        <f>IF(B398=0,"",IF(B398="no pick","No Pick",IF(LEFT(B398,LEN(B$6))=B$6,B$6,C$6)))</f>
        <v>PODLIPBIK-CASTILLO</v>
      </c>
      <c r="H398" s="95" t="str">
        <f t="shared" si="150"/>
        <v>2-0</v>
      </c>
      <c r="I398" s="95" t="str">
        <f>IF(AND(J398=$I$2,F$6=0,NOT(E$6="")),IF(OR(AND(Y398=AA398,Z398=AB398),AND(Y398=AB398,Z398=AA398)),"",IF(AND(Y398=Z398,AA398=AB398),Y398&amp;" +2 v. "&amp;AA398&amp;" +2, ",IF(Y398=AA398,Z398&amp;" v. "&amp;AB398&amp;", ",IF(Z398=AB398,Y398&amp;" v. "&amp;AA398&amp;", ",IF(Y398=AB398,Z398&amp;" v. "&amp;AA398&amp;", ",IF(Z398=AA398,Y398&amp;" v. "&amp;AB398&amp;", ",Y398&amp;" v. "&amp;AA398&amp;", "&amp;Z398&amp;" v. "&amp;AB398&amp;", ")))))),"")</f>
        <v/>
      </c>
      <c r="J398" s="97">
        <f>D$6</f>
        <v>1</v>
      </c>
      <c r="K398" s="95" t="str">
        <f t="shared" si="151"/>
        <v>PTS</v>
      </c>
      <c r="L398" s="95" t="str">
        <f t="shared" si="152"/>
        <v>6-2 6-4</v>
      </c>
      <c r="M398" s="95" t="str">
        <f t="shared" si="153"/>
        <v>62 64</v>
      </c>
      <c r="N398" s="95" t="str">
        <f t="shared" si="154"/>
        <v>62 64</v>
      </c>
      <c r="O398" s="95" t="str">
        <f t="shared" si="155"/>
        <v>62 64</v>
      </c>
      <c r="P398" s="95" t="str">
        <f t="shared" si="156"/>
        <v>62 64</v>
      </c>
      <c r="Q398" s="95">
        <f>IF(AND(G398=T$6,LEN(G398)&gt;1),1,0)</f>
        <v>0</v>
      </c>
      <c r="R398" s="97">
        <f>Doubles!G$6</f>
        <v>5</v>
      </c>
      <c r="S398" s="95">
        <f>IF(AND(H398=H$6,LEN(H398)&gt;1,Q398=1),1,0)</f>
        <v>0</v>
      </c>
      <c r="U398" s="95" t="str">
        <f>AC394&amp;AC395&amp;AC396&amp;AC397&amp;AC398&amp;AC399&amp;AC400&amp;AC401&amp;AC402&amp;AC403&amp;AC404&amp;AC405&amp;AC406&amp;AC407&amp;AC408&amp;AC409&amp;AC410&amp;AC411&amp;AC412&amp;AC413&amp;AC414&amp;AC415&amp;AC416&amp;AC417</f>
        <v xml:space="preserve">Gaio, Duran, collinari, galdon +2, santos, </v>
      </c>
      <c r="V398" s="97">
        <f>VLOOKUP(5,R394:S417,2,0)</f>
        <v>0</v>
      </c>
      <c r="W398" s="95" t="str">
        <f t="shared" si="157"/>
        <v/>
      </c>
      <c r="X398" s="95">
        <f>IF(F$6=0,IF(AND(G372=G424,NOT(G346=G372),NOT(G398=G424),LEN(W346)&gt;0),2,IF(LEN(W346)=0,0,1)),0)</f>
        <v>0</v>
      </c>
      <c r="AC398" s="95" t="str">
        <f>IF(AND(LEN(W398)&gt;0,F$6=0),IF(X398=2,W398&amp;" +2, ",W398&amp;", "),"")</f>
        <v/>
      </c>
    </row>
    <row r="399" spans="1:29">
      <c r="A399" s="95">
        <v>6</v>
      </c>
      <c r="B399" s="95" t="str">
        <f>IF(Doubles!O69="",0,Doubles!O69)</f>
        <v>DURAN 7-5 6-4</v>
      </c>
      <c r="C399" s="99" t="str">
        <f>IF(OR(LEFT(B399,LEN(B$7))=B$7,LEFT(B399,LEN(C$7))=C$7,LEN(B399)&lt;2),"",IF(B399="no pick","","Wrong pick"))</f>
        <v/>
      </c>
      <c r="D399" s="95">
        <f t="shared" si="148"/>
        <v>0</v>
      </c>
      <c r="E399" s="95">
        <f t="shared" si="149"/>
        <v>0</v>
      </c>
      <c r="G399" s="95" t="str">
        <f>IF(B399=0,"",IF(B399="no pick","No Pick",IF(LEFT(B399,LEN(B$7))=B$7,B$7,C$7)))</f>
        <v>Duran</v>
      </c>
      <c r="H399" s="95" t="str">
        <f t="shared" si="150"/>
        <v>2-0</v>
      </c>
      <c r="I399" s="95" t="str">
        <f>IF(AND(J399=$I$2,F$7=0,NOT(E$7="")),IF(OR(AND(Y399=AA399,Z399=AB399),AND(Y399=AB399,Z399=AA399)),"",IF(AND(Y399=Z399,AA399=AB399),Y399&amp;" +2 v. "&amp;AA399&amp;" +2, ",IF(Y399=AA399,Z399&amp;" v. "&amp;AB399&amp;", ",IF(Z399=AB399,Y399&amp;" v. "&amp;AA399&amp;", ",IF(Y399=AB399,Z399&amp;" v. "&amp;AA399&amp;", ",IF(Z399=AA399,Y399&amp;" v. "&amp;AB399&amp;", ",Y399&amp;" v. "&amp;AA399&amp;", "&amp;Z399&amp;" v. "&amp;AB399&amp;", ")))))),"")</f>
        <v/>
      </c>
      <c r="J399" s="97">
        <f>D$7</f>
        <v>1</v>
      </c>
      <c r="K399" s="95" t="str">
        <f t="shared" si="151"/>
        <v>PTS</v>
      </c>
      <c r="L399" s="95" t="str">
        <f t="shared" si="152"/>
        <v>7-5 6-4</v>
      </c>
      <c r="M399" s="95" t="str">
        <f t="shared" si="153"/>
        <v>75 64</v>
      </c>
      <c r="N399" s="95" t="str">
        <f t="shared" si="154"/>
        <v>75 64</v>
      </c>
      <c r="O399" s="95" t="str">
        <f t="shared" si="155"/>
        <v>75 64</v>
      </c>
      <c r="P399" s="95" t="str">
        <f t="shared" si="156"/>
        <v>75 64</v>
      </c>
      <c r="Q399" s="95">
        <f>IF(AND(G399=T$7,LEN(G399)&gt;1),1,0)</f>
        <v>0</v>
      </c>
      <c r="R399" s="97">
        <f>Doubles!G$7</f>
        <v>6</v>
      </c>
      <c r="S399" s="95">
        <f>IF(AND(H399=H$7,LEN(H399)&gt;1,Q399=1),1,0)</f>
        <v>0</v>
      </c>
      <c r="T399" s="105">
        <f>SUM(Q394:Q417)</f>
        <v>0</v>
      </c>
      <c r="U399" s="97">
        <f>SUM(S394:S417)</f>
        <v>0</v>
      </c>
      <c r="V399" s="97">
        <f>VLOOKUP(6,R394:S417,2,0)</f>
        <v>0</v>
      </c>
      <c r="W399" s="95" t="str">
        <f t="shared" si="157"/>
        <v>Duran</v>
      </c>
      <c r="X399" s="95">
        <f>IF(F$7=0,IF(AND(G373=G425,NOT(G347=G373),NOT(G399=G425),LEN(W347)&gt;0),2,IF(LEN(W347)=0,0,1)),0)</f>
        <v>1</v>
      </c>
      <c r="AC399" s="95" t="str">
        <f>IF(AND(LEN(W399)&gt;0,F$7=0),IF(X399=2,W399&amp;" +2, ",W399&amp;", "),"")</f>
        <v xml:space="preserve">Duran, </v>
      </c>
    </row>
    <row r="400" spans="1:29">
      <c r="A400" s="95">
        <v>7</v>
      </c>
      <c r="B400" s="95" t="str">
        <f>IF(Doubles!O70="",0,Doubles!O70)</f>
        <v>MICHON 4-6 6-4 7-5</v>
      </c>
      <c r="C400" s="99" t="str">
        <f>IF(OR(LEFT(B400,LEN(B$8))=B$8,LEFT(B400,LEN(C$8))=C$8,LEN(B400)&lt;2),"",IF(B400="no pick","","Wrong pick"))</f>
        <v/>
      </c>
      <c r="D400" s="95">
        <f t="shared" si="148"/>
        <v>0</v>
      </c>
      <c r="E400" s="95">
        <f t="shared" si="149"/>
        <v>0</v>
      </c>
      <c r="G400" s="95" t="str">
        <f>IF(B400=0,"",IF(B400="no pick","No Pick",IF(LEFT(B400,LEN(B$8))=B$8,B$8,C$8)))</f>
        <v>Michon</v>
      </c>
      <c r="H400" s="95" t="str">
        <f t="shared" si="150"/>
        <v>2-1</v>
      </c>
      <c r="I400" s="95" t="str">
        <f>IF(AND(J400=$I$2,F$8=0,NOT(E$8="")),IF(OR(AND(Y400=AA400,Z400=AB400),AND(Y400=AB400,Z400=AA400)),"",IF(AND(Y400=Z400,AA400=AB400),Y400&amp;" +2 v. "&amp;AA400&amp;" +2, ",IF(Y400=AA400,Z400&amp;" v. "&amp;AB400&amp;", ",IF(Z400=AB400,Y400&amp;" v. "&amp;AA400&amp;", ",IF(Y400=AB400,Z400&amp;" v. "&amp;AA400&amp;", ",IF(Z400=AA400,Y400&amp;" v. "&amp;AB400&amp;", ",Y400&amp;" v. "&amp;AA400&amp;", "&amp;Z400&amp;" v. "&amp;AB400&amp;", ")))))),"")</f>
        <v/>
      </c>
      <c r="J400" s="97">
        <f>D$8</f>
        <v>1</v>
      </c>
      <c r="K400" s="95" t="str">
        <f t="shared" si="151"/>
        <v>PTS</v>
      </c>
      <c r="L400" s="95" t="str">
        <f t="shared" si="152"/>
        <v>4-6 6-4 7-5</v>
      </c>
      <c r="M400" s="95" t="str">
        <f t="shared" si="153"/>
        <v>46 64 75</v>
      </c>
      <c r="N400" s="95" t="str">
        <f t="shared" si="154"/>
        <v>46 64 75</v>
      </c>
      <c r="O400" s="95" t="str">
        <f t="shared" si="155"/>
        <v>46 64 75</v>
      </c>
      <c r="P400" s="95" t="str">
        <f t="shared" si="156"/>
        <v>46 64 75</v>
      </c>
      <c r="Q400" s="95">
        <f>IF(AND(G400=T$8,LEN(G400)&gt;1),1,0)</f>
        <v>0</v>
      </c>
      <c r="R400" s="97">
        <f>Doubles!G$8</f>
        <v>7</v>
      </c>
      <c r="S400" s="95">
        <f>IF(AND(H400=H$8,LEN(H400)&gt;1,Q400=1),1,0)</f>
        <v>0</v>
      </c>
      <c r="T400" s="105">
        <f>SUM(Q420:Q443)</f>
        <v>0</v>
      </c>
      <c r="U400" s="97">
        <f>SUM(S420:S443)</f>
        <v>0</v>
      </c>
      <c r="V400" s="97">
        <f>VLOOKUP(7,R394:S417,2,0)</f>
        <v>0</v>
      </c>
      <c r="W400" s="95" t="str">
        <f t="shared" si="157"/>
        <v/>
      </c>
      <c r="X400" s="95">
        <f>IF(F$8=0,IF(AND(G374=G426,NOT(G348=G374),NOT(G400=G426),LEN(W348)&gt;0),2,IF(LEN(W348)=0,0,1)),0)</f>
        <v>0</v>
      </c>
      <c r="AC400" s="95" t="str">
        <f>IF(AND(LEN(W400)&gt;0,F$8=0),IF(X400=2,W400&amp;" +2, ",W400&amp;", "),"")</f>
        <v/>
      </c>
    </row>
    <row r="401" spans="1:29">
      <c r="A401" s="95">
        <v>8</v>
      </c>
      <c r="B401" s="95" t="str">
        <f>IF(Doubles!O71="",0,Doubles!O71)</f>
        <v>GONZALEZ 6-4 6-3</v>
      </c>
      <c r="C401" s="99" t="str">
        <f>IF(OR(LEFT(B401,LEN(B$9))=B$9,LEFT(B401,LEN(C$9))=C$9,LEN(B401)&lt;2),"",IF(B401="no pick","","Wrong pick"))</f>
        <v/>
      </c>
      <c r="D401" s="95">
        <f t="shared" si="148"/>
        <v>0</v>
      </c>
      <c r="E401" s="95">
        <f t="shared" si="149"/>
        <v>0</v>
      </c>
      <c r="G401" s="95" t="str">
        <f>IF(B401=0,"",IF(B401="no pick","No Pick",IF(LEFT(B401,LEN(B$9))=B$9,B$9,C$9)))</f>
        <v>gonzalez</v>
      </c>
      <c r="H401" s="95" t="str">
        <f t="shared" si="150"/>
        <v>2-0</v>
      </c>
      <c r="I401" s="95" t="str">
        <f>IF(AND(J401=$I$2,F$9=0,NOT(E$9="")),IF(OR(AND(Y401=AA401,Z401=AB401),AND(Y401=AB401,Z401=AA401)),"",IF(AND(Y401=Z401,AA401=AB401),Y401&amp;" +2 v. "&amp;AA401&amp;" +2, ",IF(Y401=AA401,Z401&amp;" v. "&amp;AB401&amp;", ",IF(Z401=AB401,Y401&amp;" v. "&amp;AA401&amp;", ",IF(Y401=AB401,Z401&amp;" v. "&amp;AA401&amp;", ",IF(Z401=AA401,Y401&amp;" v. "&amp;AB401&amp;", ",Y401&amp;" v. "&amp;AA401&amp;", "&amp;Z401&amp;" v. "&amp;AB401&amp;", ")))))),"")</f>
        <v/>
      </c>
      <c r="J401" s="97">
        <f>D$9</f>
        <v>1</v>
      </c>
      <c r="K401" s="95" t="str">
        <f t="shared" si="151"/>
        <v>PTS</v>
      </c>
      <c r="L401" s="95" t="str">
        <f t="shared" si="152"/>
        <v>6-4 6-3</v>
      </c>
      <c r="M401" s="95" t="str">
        <f t="shared" si="153"/>
        <v>64 63</v>
      </c>
      <c r="N401" s="95" t="str">
        <f t="shared" si="154"/>
        <v>64 63</v>
      </c>
      <c r="O401" s="95" t="str">
        <f t="shared" si="155"/>
        <v>64 63</v>
      </c>
      <c r="P401" s="95" t="str">
        <f t="shared" si="156"/>
        <v>64 63</v>
      </c>
      <c r="Q401" s="95">
        <f>IF(AND(G401=T$9,LEN(G401)&gt;1),1,0)</f>
        <v>0</v>
      </c>
      <c r="R401" s="97">
        <f>Doubles!G$9</f>
        <v>8</v>
      </c>
      <c r="S401" s="95">
        <f>IF(AND(H401=H$9,LEN(H401)&gt;1,Q401=1),1,0)</f>
        <v>0</v>
      </c>
      <c r="V401" s="97">
        <f>VLOOKUP(8,R394:S417,2,0)</f>
        <v>0</v>
      </c>
      <c r="W401" s="95" t="str">
        <f t="shared" si="157"/>
        <v/>
      </c>
      <c r="X401" s="95">
        <f>IF(F$9=0,IF(AND(G375=G427,NOT(G349=G375),NOT(G401=G427),LEN(W349)&gt;0),2,IF(LEN(W349)=0,0,1)),0)</f>
        <v>0</v>
      </c>
      <c r="AC401" s="95" t="str">
        <f>IF(AND(LEN(W401)&gt;0,F$9=0),IF(X401=2,W401&amp;" +2, ",W401&amp;", "),"")</f>
        <v/>
      </c>
    </row>
    <row r="402" spans="1:29">
      <c r="A402" s="95">
        <v>9</v>
      </c>
      <c r="B402" s="95" t="str">
        <f>IF(Doubles!O72="",0,Doubles!O72)</f>
        <v>PEREIRA 6-4 6-1</v>
      </c>
      <c r="C402" s="99" t="str">
        <f>IF(OR(LEFT(B402,LEN(B$10))=B$10,LEFT(B402,LEN(C$10))=C$10,LEN(B402)&lt;2),"",IF(B402="no pick","","Wrong pick"))</f>
        <v/>
      </c>
      <c r="D402" s="95">
        <f t="shared" si="148"/>
        <v>0</v>
      </c>
      <c r="E402" s="95">
        <f t="shared" si="149"/>
        <v>0</v>
      </c>
      <c r="G402" s="95" t="str">
        <f>IF(B402=0,"",IF(B402="no pick","No Pick",IF(LEFT(B402,LEN(B$10))=B$10,B$10,C$10)))</f>
        <v>pereira</v>
      </c>
      <c r="H402" s="95" t="str">
        <f t="shared" si="150"/>
        <v>2-0</v>
      </c>
      <c r="I402" s="95" t="str">
        <f>IF(AND(J402=$I$2,F$10=0,NOT(E$10="")),IF(OR(AND(Y402=AA402,Z402=AB402),AND(Y402=AB402,Z402=AA402)),"",IF(AND(Y402=Z402,AA402=AB402),Y402&amp;" +2 v. "&amp;AA402&amp;" +2, ",IF(Y402=AA402,Z402&amp;" v. "&amp;AB402&amp;", ",IF(Z402=AB402,Y402&amp;" v. "&amp;AA402&amp;", ",IF(Y402=AB402,Z402&amp;" v. "&amp;AA402&amp;", ",IF(Z402=AA402,Y402&amp;" v. "&amp;AB402&amp;", ",Y402&amp;" v. "&amp;AA402&amp;", "&amp;Z402&amp;" v. "&amp;AB402&amp;", ")))))),"")</f>
        <v/>
      </c>
      <c r="J402" s="97">
        <f>D$10</f>
        <v>1</v>
      </c>
      <c r="K402" s="95" t="str">
        <f t="shared" si="151"/>
        <v>PTS</v>
      </c>
      <c r="L402" s="95" t="str">
        <f t="shared" si="152"/>
        <v>6-4 6-1</v>
      </c>
      <c r="M402" s="95" t="str">
        <f t="shared" si="153"/>
        <v>64 61</v>
      </c>
      <c r="N402" s="95" t="str">
        <f t="shared" si="154"/>
        <v>64 61</v>
      </c>
      <c r="O402" s="95" t="str">
        <f t="shared" si="155"/>
        <v>64 61</v>
      </c>
      <c r="P402" s="95" t="str">
        <f t="shared" si="156"/>
        <v>64 61</v>
      </c>
      <c r="Q402" s="95">
        <f>IF(AND(G402=T$10,LEN(G402)&gt;1),1,0)</f>
        <v>0</v>
      </c>
      <c r="R402" s="97">
        <f>Doubles!G$10</f>
        <v>9</v>
      </c>
      <c r="S402" s="95">
        <f>IF(AND(H402=H$10,LEN(H402)&gt;1,Q402=1),1,0)</f>
        <v>0</v>
      </c>
      <c r="T402" s="97" t="e">
        <f>VLOOKUP("Winner",T420:U436,2,0)</f>
        <v>#N/A</v>
      </c>
      <c r="U402" s="95" t="e">
        <f>VLOOKUP(T402,U420:W436,3,0)</f>
        <v>#N/A</v>
      </c>
      <c r="V402" s="97">
        <f>VLOOKUP(9,R394:S417,2,0)</f>
        <v>0</v>
      </c>
      <c r="W402" s="95" t="str">
        <f t="shared" si="157"/>
        <v/>
      </c>
      <c r="X402" s="95">
        <f>IF(F$10=0,IF(AND(G376=G428,NOT(G350=G376),NOT(G402=G428),LEN(W350)&gt;0),2,IF(LEN(W350)=0,0,1)),0)</f>
        <v>0</v>
      </c>
      <c r="AC402" s="95" t="str">
        <f>IF(AND(LEN(W402)&gt;0,F$10=0),IF(X402=2,W402&amp;" +2, ",W402&amp;", "),"")</f>
        <v/>
      </c>
    </row>
    <row r="403" spans="1:29">
      <c r="A403" s="95">
        <v>10</v>
      </c>
      <c r="B403" s="95" t="str">
        <f>IF(Doubles!O73="",0,Doubles!O73)</f>
        <v>COLLINARI 6-3 6-4</v>
      </c>
      <c r="C403" s="99" t="str">
        <f>IF(OR(LEFT(B403,LEN(B$11))=B$11,LEFT(B403,LEN(C$11))=C$11,LEN(B403)&lt;2),"",IF(B403="no pick","","Wrong pick"))</f>
        <v/>
      </c>
      <c r="D403" s="95">
        <f t="shared" si="148"/>
        <v>0</v>
      </c>
      <c r="E403" s="95">
        <f t="shared" si="149"/>
        <v>0</v>
      </c>
      <c r="G403" s="95" t="str">
        <f>IF(B403=0,"",IF(B403="no pick","No Pick",IF(LEFT(B403,LEN(B$11))=B$11,B$11,C$11)))</f>
        <v>collinari</v>
      </c>
      <c r="H403" s="95" t="str">
        <f t="shared" si="150"/>
        <v>2-0</v>
      </c>
      <c r="I403" s="95" t="str">
        <f>IF(AND(J403=$I$2,F$11=0,NOT(E$11="")),IF(OR(AND(Y403=AA403,Z403=AB403),AND(Y403=AB403,Z403=AA403)),"",IF(AND(Y403=Z403,AA403=AB403),Y403&amp;" +2 v. "&amp;AA403&amp;" +2, ",IF(Y403=AA403,Z403&amp;" v. "&amp;AB403&amp;", ",IF(Z403=AB403,Y403&amp;" v. "&amp;AA403&amp;", ",IF(Y403=AB403,Z403&amp;" v. "&amp;AA403&amp;", ",IF(Z403=AA403,Y403&amp;" v. "&amp;AB403&amp;", ",Y403&amp;" v. "&amp;AA403&amp;", "&amp;Z403&amp;" v. "&amp;AB403&amp;", ")))))),"")</f>
        <v/>
      </c>
      <c r="J403" s="97">
        <f>D$11</f>
        <v>1</v>
      </c>
      <c r="K403" s="95" t="str">
        <f t="shared" si="151"/>
        <v>PTS</v>
      </c>
      <c r="L403" s="95" t="str">
        <f t="shared" si="152"/>
        <v>6-3 6-4</v>
      </c>
      <c r="M403" s="95" t="str">
        <f t="shared" si="153"/>
        <v>63 64</v>
      </c>
      <c r="N403" s="95" t="str">
        <f t="shared" si="154"/>
        <v>63 64</v>
      </c>
      <c r="O403" s="95" t="str">
        <f t="shared" si="155"/>
        <v>63 64</v>
      </c>
      <c r="P403" s="95" t="str">
        <f t="shared" si="156"/>
        <v>63 64</v>
      </c>
      <c r="Q403" s="95">
        <f>IF(AND(G403=T$11,LEN(G403)&gt;1),1,0)</f>
        <v>0</v>
      </c>
      <c r="R403" s="97">
        <f>Doubles!G$11</f>
        <v>10</v>
      </c>
      <c r="S403" s="95">
        <f>IF(AND(H403=H$11,LEN(H403)&gt;1,Q403=1),1,0)</f>
        <v>0</v>
      </c>
      <c r="V403" s="97">
        <f>VLOOKUP(10,R394:S417,2,0)</f>
        <v>0</v>
      </c>
      <c r="W403" s="95" t="str">
        <f t="shared" si="157"/>
        <v>collinari</v>
      </c>
      <c r="X403" s="95">
        <f>IF(F$11=0,IF(AND(G377=G429,NOT(G351=G377),NOT(G403=G429),LEN(W351)&gt;0),2,IF(LEN(W351)=0,0,1)),0)</f>
        <v>1</v>
      </c>
      <c r="AC403" s="95" t="str">
        <f>IF(AND(LEN(W403)&gt;0,F$11=0),IF(X403=2,W403&amp;" +2, ",W403&amp;", "),"")</f>
        <v xml:space="preserve">collinari, </v>
      </c>
    </row>
    <row r="404" spans="1:29">
      <c r="A404" s="95">
        <v>11</v>
      </c>
      <c r="B404" s="95" t="str">
        <f>IF(Doubles!O74="",0,Doubles!O74)</f>
        <v>GINER 6-4 6-3</v>
      </c>
      <c r="C404" s="99" t="str">
        <f>IF(OR(LEFT(B404,LEN(B$12))=B$12,LEFT(B404,LEN(C$12))=C$12,LEN(B404)&lt;2),"",IF(B404="no pick","","Wrong pick"))</f>
        <v/>
      </c>
      <c r="D404" s="95">
        <f t="shared" si="148"/>
        <v>0</v>
      </c>
      <c r="E404" s="95">
        <f t="shared" si="149"/>
        <v>0</v>
      </c>
      <c r="G404" s="95" t="str">
        <f>IF(B404=0,"",IF(B404="no pick","No Pick",IF(LEFT(B404,LEN(B$12))=B$12,B$12,C$12)))</f>
        <v>giner</v>
      </c>
      <c r="H404" s="95" t="str">
        <f t="shared" si="150"/>
        <v>2-0</v>
      </c>
      <c r="I404" s="95" t="str">
        <f>IF(AND(J404=$I$2,F$12=0,NOT(E$12="")),IF(OR(AND(Y404=AA404,Z404=AB404),AND(Y404=AB404,Z404=AA404)),"",IF(AND(Y404=Z404,AA404=AB404),Y404&amp;" +2 v. "&amp;AA404&amp;" +2, ",IF(Y404=AA404,Z404&amp;" v. "&amp;AB404&amp;", ",IF(Z404=AB404,Y404&amp;" v. "&amp;AA404&amp;", ",IF(Y404=AB404,Z404&amp;" v. "&amp;AA404&amp;", ",IF(Z404=AA404,Y404&amp;" v. "&amp;AB404&amp;", ",Y404&amp;" v. "&amp;AA404&amp;", "&amp;Z404&amp;" v. "&amp;AB404&amp;", ")))))),"")</f>
        <v/>
      </c>
      <c r="J404" s="97">
        <f>D$12</f>
        <v>1</v>
      </c>
      <c r="K404" s="95" t="str">
        <f t="shared" si="151"/>
        <v>PTS</v>
      </c>
      <c r="L404" s="95" t="str">
        <f t="shared" si="152"/>
        <v>6-4 6-3</v>
      </c>
      <c r="M404" s="95" t="str">
        <f t="shared" si="153"/>
        <v>64 63</v>
      </c>
      <c r="N404" s="95" t="str">
        <f t="shared" si="154"/>
        <v>64 63</v>
      </c>
      <c r="O404" s="95" t="str">
        <f t="shared" si="155"/>
        <v>64 63</v>
      </c>
      <c r="P404" s="95" t="str">
        <f t="shared" si="156"/>
        <v>64 63</v>
      </c>
      <c r="Q404" s="95">
        <f>IF(AND(G404=T$12,LEN(G404)&gt;1),1,0)</f>
        <v>0</v>
      </c>
      <c r="R404" s="97">
        <f>Doubles!G$12</f>
        <v>11</v>
      </c>
      <c r="S404" s="95">
        <f>IF(AND(H404=H$12,LEN(H404)&gt;1,Q404=1),1,0)</f>
        <v>0</v>
      </c>
      <c r="V404" s="97">
        <f>VLOOKUP(11,R394:S417,2,0)</f>
        <v>0</v>
      </c>
      <c r="W404" s="95" t="str">
        <f t="shared" si="157"/>
        <v/>
      </c>
      <c r="X404" s="95">
        <f>IF(F$12=0,IF(AND(G378=G430,NOT(G352=G378),NOT(G404=G430),LEN(W352)&gt;0),2,IF(LEN(W352)=0,0,1)),0)</f>
        <v>0</v>
      </c>
      <c r="AC404" s="95" t="str">
        <f>IF(AND(LEN(W404)&gt;0,F$12=0),IF(X404=2,W404&amp;" +2, ",W404&amp;", "),"")</f>
        <v/>
      </c>
    </row>
    <row r="405" spans="1:29">
      <c r="A405" s="95">
        <v>12</v>
      </c>
      <c r="B405" s="95" t="str">
        <f>IF(Doubles!O75="",0,Doubles!O75)</f>
        <v>TURINI 4-6 6-4 6-4</v>
      </c>
      <c r="C405" s="99" t="str">
        <f>IF(OR(LEFT(B405,LEN(B$13))=B$13,LEFT(B405,LEN(C$13))=C$13,LEN(B405)&lt;2),"",IF(B405="no pick","","Wrong pick"))</f>
        <v/>
      </c>
      <c r="D405" s="95">
        <f t="shared" si="148"/>
        <v>1</v>
      </c>
      <c r="E405" s="95">
        <f t="shared" si="149"/>
        <v>0</v>
      </c>
      <c r="G405" s="95" t="str">
        <f>IF(B405=0,"",IF(B405="no pick","No Pick",IF(LEFT(B405,LEN(B$13))=B$13,B$13,C$13)))</f>
        <v>turini</v>
      </c>
      <c r="H405" s="95" t="str">
        <f t="shared" si="150"/>
        <v>2-1</v>
      </c>
      <c r="I405" s="95" t="str">
        <f>IF(AND(J405=$I$2,F$13=0,NOT(E$13="")),IF(OR(AND(Y405=AA405,Z405=AB405),AND(Y405=AB405,Z405=AA405)),"",IF(AND(Y405=Z405,AA405=AB405),Y405&amp;" +2 v. "&amp;AA405&amp;" +2, ",IF(Y405=AA405,Z405&amp;" v. "&amp;AB405&amp;", ",IF(Z405=AB405,Y405&amp;" v. "&amp;AA405&amp;", ",IF(Y405=AB405,Z405&amp;" v. "&amp;AA405&amp;", ",IF(Z405=AA405,Y405&amp;" v. "&amp;AB405&amp;", ",Y405&amp;" v. "&amp;AA405&amp;", "&amp;Z405&amp;" v. "&amp;AB405&amp;", ")))))),"")</f>
        <v/>
      </c>
      <c r="J405" s="97">
        <f>D$13</f>
        <v>1</v>
      </c>
      <c r="K405" s="95" t="str">
        <f t="shared" si="151"/>
        <v>PTS</v>
      </c>
      <c r="L405" s="95" t="str">
        <f t="shared" si="152"/>
        <v>4-6 6-4 6-4</v>
      </c>
      <c r="M405" s="95" t="str">
        <f t="shared" si="153"/>
        <v>46 64 64</v>
      </c>
      <c r="N405" s="95" t="str">
        <f t="shared" si="154"/>
        <v>46 64 64</v>
      </c>
      <c r="O405" s="95" t="str">
        <f t="shared" si="155"/>
        <v>46 64 64</v>
      </c>
      <c r="P405" s="95" t="str">
        <f t="shared" si="156"/>
        <v>46 64 64</v>
      </c>
      <c r="Q405" s="95">
        <f>IF(AND(G405=T$13,LEN(G405)&gt;1),1,0)</f>
        <v>0</v>
      </c>
      <c r="R405" s="97">
        <f>Doubles!G$13</f>
        <v>12</v>
      </c>
      <c r="S405" s="95">
        <f>IF(AND(H405=H$13,LEN(H405)&gt;1,Q405=1),1,0)</f>
        <v>0</v>
      </c>
      <c r="V405" s="97">
        <f>VLOOKUP(12,R394:S417,2,0)</f>
        <v>0</v>
      </c>
      <c r="W405" s="95" t="str">
        <f t="shared" si="157"/>
        <v>galdon</v>
      </c>
      <c r="X405" s="95">
        <f>IF(F$13=0,IF(AND(G379=G431,NOT(G353=G379),NOT(G405=G431),LEN(W353)&gt;0),2,IF(LEN(W353)=0,0,1)),0)</f>
        <v>2</v>
      </c>
      <c r="AC405" s="95" t="str">
        <f>IF(AND(LEN(W405)&gt;0,F$13=0),IF(X405=2,W405&amp;" +2, ",W405&amp;", "),"")</f>
        <v xml:space="preserve">galdon +2, </v>
      </c>
    </row>
    <row r="406" spans="1:29">
      <c r="A406" s="95">
        <v>13</v>
      </c>
      <c r="B406" s="95" t="str">
        <f>IF(Doubles!O76="",0,Doubles!O76)</f>
        <v>LOBKOV 6-3 6-2</v>
      </c>
      <c r="C406" s="99" t="str">
        <f>IF(OR(LEFT(B406,LEN(B$14))=B$14,LEFT(B406,LEN(C$14))=C$14,LEN(B406)&lt;2),"",IF(B406="no pick","","Wrong pick"))</f>
        <v/>
      </c>
      <c r="D406" s="95">
        <f t="shared" si="148"/>
        <v>0</v>
      </c>
      <c r="E406" s="95">
        <f t="shared" si="149"/>
        <v>0</v>
      </c>
      <c r="G406" s="95" t="str">
        <f>IF(B406=0,"",IF(B406="no pick","No Pick",IF(LEFT(B406,LEN(B$14))=B$14,B$14,C$14)))</f>
        <v>lobkov</v>
      </c>
      <c r="H406" s="95" t="str">
        <f t="shared" si="150"/>
        <v>2-0</v>
      </c>
      <c r="I406" s="95" t="str">
        <f>IF(AND(J406=$I$2,F$14=0,NOT(E$14="")),IF(OR(AND(Y406=AA406,Z406=AB406),AND(Y406=AB406,Z406=AA406)),"",IF(AND(Y406=Z406,AA406=AB406),Y406&amp;" +2 v. "&amp;AA406&amp;" +2, ",IF(Y406=AA406,Z406&amp;" v. "&amp;AB406&amp;", ",IF(Z406=AB406,Y406&amp;" v. "&amp;AA406&amp;", ",IF(Y406=AB406,Z406&amp;" v. "&amp;AA406&amp;", ",IF(Z406=AA406,Y406&amp;" v. "&amp;AB406&amp;", ",Y406&amp;" v. "&amp;AA406&amp;", "&amp;Z406&amp;" v. "&amp;AB406&amp;", ")))))),"")</f>
        <v/>
      </c>
      <c r="J406" s="97">
        <f>D$14</f>
        <v>1</v>
      </c>
      <c r="K406" s="95" t="str">
        <f t="shared" si="151"/>
        <v>PTS</v>
      </c>
      <c r="L406" s="95" t="str">
        <f t="shared" si="152"/>
        <v>6-3 6-2</v>
      </c>
      <c r="M406" s="95" t="str">
        <f t="shared" si="153"/>
        <v>63 62</v>
      </c>
      <c r="N406" s="95" t="str">
        <f t="shared" si="154"/>
        <v>63 62</v>
      </c>
      <c r="O406" s="95" t="str">
        <f t="shared" si="155"/>
        <v>63 62</v>
      </c>
      <c r="P406" s="95" t="str">
        <f t="shared" si="156"/>
        <v>63 62</v>
      </c>
      <c r="Q406" s="95">
        <f>IF(AND(G406=T$14,LEN(G406)&gt;1),1,0)</f>
        <v>0</v>
      </c>
      <c r="R406" s="97">
        <f>Doubles!G$14</f>
        <v>13</v>
      </c>
      <c r="S406" s="95">
        <f>IF(AND(H406=H$14,LEN(H406)&gt;1,Q406=1),1,0)</f>
        <v>0</v>
      </c>
      <c r="V406" s="97">
        <f>VLOOKUP(13,R394:S417,2,0)</f>
        <v>0</v>
      </c>
      <c r="W406" s="95" t="str">
        <f t="shared" si="157"/>
        <v/>
      </c>
      <c r="X406" s="95">
        <f>IF(F$14=0,IF(AND(G380=G432,NOT(G354=G380),NOT(G406=G432),LEN(W354)&gt;0),2,IF(LEN(W354)=0,0,1)),0)</f>
        <v>0</v>
      </c>
      <c r="AC406" s="95" t="str">
        <f>IF(AND(LEN(W406)&gt;0,F$14=0),IF(X406=2,W406&amp;" +2, ",W406&amp;", "),"")</f>
        <v/>
      </c>
    </row>
    <row r="407" spans="1:29">
      <c r="A407" s="95">
        <v>14</v>
      </c>
      <c r="B407" s="95" t="str">
        <f>IF(Doubles!O77="",0,Doubles!O77)</f>
        <v>SANTOS 4-6 6-4 7-5</v>
      </c>
      <c r="C407" s="99" t="str">
        <f>IF(OR(LEFT(B407,LEN(B$15))=B$15,LEFT(B407,LEN(C$15))=C$15,LEN(B407)&lt;2),"",IF(B407="no pick","","Wrong pick"))</f>
        <v/>
      </c>
      <c r="D407" s="95">
        <f t="shared" si="148"/>
        <v>0</v>
      </c>
      <c r="E407" s="95">
        <f t="shared" si="149"/>
        <v>0</v>
      </c>
      <c r="G407" s="95" t="str">
        <f>IF(B407=0,"",IF(B407="no pick","No Pick",IF(LEFT(B407,LEN(B$15))=B$15,B$15,C$15)))</f>
        <v>santos</v>
      </c>
      <c r="H407" s="95" t="str">
        <f t="shared" si="150"/>
        <v>2-1</v>
      </c>
      <c r="I407" s="95" t="str">
        <f>IF(AND(J407=$I$2,F$15=0,NOT(E$15="")),IF(OR(AND(Y407=AA407,Z407=AB407),AND(Y407=AB407,Z407=AA407)),"",IF(AND(Y407=Z407,AA407=AB407),Y407&amp;" +2 v. "&amp;AA407&amp;" +2, ",IF(Y407=AA407,Z407&amp;" v. "&amp;AB407&amp;", ",IF(Z407=AB407,Y407&amp;" v. "&amp;AA407&amp;", ",IF(Y407=AB407,Z407&amp;" v. "&amp;AA407&amp;", ",IF(Z407=AA407,Y407&amp;" v. "&amp;AB407&amp;", ",Y407&amp;" v. "&amp;AA407&amp;", "&amp;Z407&amp;" v. "&amp;AB407&amp;", ")))))),"")</f>
        <v/>
      </c>
      <c r="J407" s="97">
        <f>D$15</f>
        <v>1</v>
      </c>
      <c r="K407" s="95" t="str">
        <f t="shared" si="151"/>
        <v>PTS</v>
      </c>
      <c r="L407" s="95" t="str">
        <f t="shared" si="152"/>
        <v>4-6 6-4 7-5</v>
      </c>
      <c r="M407" s="95" t="str">
        <f t="shared" si="153"/>
        <v>46 64 75</v>
      </c>
      <c r="N407" s="95" t="str">
        <f t="shared" si="154"/>
        <v>46 64 75</v>
      </c>
      <c r="O407" s="95" t="str">
        <f t="shared" si="155"/>
        <v>46 64 75</v>
      </c>
      <c r="P407" s="95" t="str">
        <f t="shared" si="156"/>
        <v>46 64 75</v>
      </c>
      <c r="Q407" s="95">
        <f>IF(AND(G407=T$15,LEN(G407)&gt;1),1,0)</f>
        <v>0</v>
      </c>
      <c r="R407" s="97">
        <f>Doubles!G$15</f>
        <v>14</v>
      </c>
      <c r="S407" s="95">
        <f>IF(AND(H407=H$15,LEN(H407)&gt;1,Q407=1),1,0)</f>
        <v>0</v>
      </c>
      <c r="V407" s="97">
        <f>VLOOKUP(14,R394:S417,2,0)</f>
        <v>0</v>
      </c>
      <c r="W407" s="95" t="str">
        <f t="shared" si="157"/>
        <v>santos</v>
      </c>
      <c r="X407" s="95">
        <f>IF(F$15=0,IF(AND(G381=G433,NOT(G355=G381),NOT(G407=G433),LEN(W355)&gt;0),2,IF(LEN(W355)=0,0,1)),0)</f>
        <v>1</v>
      </c>
      <c r="AC407" s="95" t="str">
        <f>IF(AND(LEN(W407)&gt;0,F$15=0),IF(X407=2,W407&amp;" +2, ",W407&amp;", "),"")</f>
        <v xml:space="preserve">santos, </v>
      </c>
    </row>
    <row r="408" spans="1:29">
      <c r="A408" s="95">
        <v>15</v>
      </c>
      <c r="B408" s="95" t="str">
        <f>IF(Doubles!O78="",0,Doubles!O78)</f>
        <v>SANTOS 7-5 6-4</v>
      </c>
      <c r="C408" s="99" t="str">
        <f>IF(OR(LEFT(B408,LEN(B$16))=B$16,LEFT(B408,LEN(C$16))=C$16,LEN(B408)&lt;2),"",IF(B408="no pick","","Wrong pick"))</f>
        <v/>
      </c>
      <c r="D408" s="95">
        <f t="shared" si="148"/>
        <v>0</v>
      </c>
      <c r="E408" s="95">
        <f t="shared" si="149"/>
        <v>0</v>
      </c>
      <c r="G408" s="95" t="str">
        <f>IF(B408=0,"",IF(B408="no pick","No Pick",IF(LEFT(B408,LEN(B$16))=B$16,B$16,C$16)))</f>
        <v>santos</v>
      </c>
      <c r="H408" s="95" t="str">
        <f t="shared" si="150"/>
        <v>2-0</v>
      </c>
      <c r="I408" s="95" t="str">
        <f>IF(AND(J408=$I$2,F$16=0,NOT(E$16="")),IF(OR(AND(Y408=AA408,Z408=AB408),AND(Y408=AB408,Z408=AA408)),"",IF(AND(Y408=Z408,AA408=AB408),Y408&amp;" +2 v. "&amp;AA408&amp;" +2, ",IF(Y408=AA408,Z408&amp;" v. "&amp;AB408&amp;", ",IF(Z408=AB408,Y408&amp;" v. "&amp;AA408&amp;", ",IF(Y408=AB408,Z408&amp;" v. "&amp;AA408&amp;", ",IF(Z408=AA408,Y408&amp;" v. "&amp;AB408&amp;", ",Y408&amp;" v. "&amp;AA408&amp;", "&amp;Z408&amp;" v. "&amp;AB408&amp;", ")))))),"")</f>
        <v/>
      </c>
      <c r="J408" s="97">
        <f>D$16</f>
        <v>1</v>
      </c>
      <c r="K408" s="95" t="str">
        <f t="shared" si="151"/>
        <v>PTS</v>
      </c>
      <c r="L408" s="95" t="str">
        <f t="shared" si="152"/>
        <v>7-5 6-4</v>
      </c>
      <c r="M408" s="95" t="str">
        <f t="shared" si="153"/>
        <v>75 64</v>
      </c>
      <c r="N408" s="95" t="str">
        <f t="shared" si="154"/>
        <v>75 64</v>
      </c>
      <c r="O408" s="95" t="str">
        <f t="shared" si="155"/>
        <v>75 64</v>
      </c>
      <c r="P408" s="95" t="str">
        <f t="shared" si="156"/>
        <v>75 64</v>
      </c>
      <c r="Q408" s="95">
        <f>IF(AND(G408=T$16,LEN(G408)&gt;1),1,0)</f>
        <v>0</v>
      </c>
      <c r="R408" s="97">
        <f>Doubles!G$16</f>
        <v>15</v>
      </c>
      <c r="S408" s="95">
        <f>IF(AND(H408=H$16,LEN(H408)&gt;1,Q408=1),1,0)</f>
        <v>0</v>
      </c>
      <c r="V408" s="97">
        <f>VLOOKUP(15,R394:S417,2,0)</f>
        <v>0</v>
      </c>
      <c r="W408" s="95" t="str">
        <f t="shared" si="157"/>
        <v/>
      </c>
      <c r="X408" s="95">
        <f>IF(F$16=0,IF(AND(G382=G434,NOT(G356=G382),NOT(G408=G434),LEN(W356)&gt;0),2,IF(LEN(W356)=0,0,1)),0)</f>
        <v>0</v>
      </c>
      <c r="AC408" s="95" t="str">
        <f>IF(AND(LEN(W408)&gt;0,F$16=0),IF(X408=2,W408&amp;" +2, ",W408&amp;", "),"")</f>
        <v/>
      </c>
    </row>
    <row r="409" spans="1:29">
      <c r="A409" s="95">
        <v>16</v>
      </c>
      <c r="B409" s="95" t="str">
        <f>IF(Doubles!O79="",0,Doubles!O79)</f>
        <v>LOJDA 6-3 6-2</v>
      </c>
      <c r="C409" s="99" t="str">
        <f>IF(OR(LEFT(B409,LEN(B$17))=B$17,LEFT(B409,LEN(C$17))=C$17,LEN(B409)&lt;2),"",IF(B409="no pick","","Wrong pick"))</f>
        <v/>
      </c>
      <c r="D409" s="95">
        <f t="shared" si="148"/>
        <v>0</v>
      </c>
      <c r="E409" s="95">
        <f t="shared" si="149"/>
        <v>0</v>
      </c>
      <c r="G409" s="95" t="str">
        <f>IF(B409=0,"",IF(B409="no pick","No Pick",IF(LEFT(B409,LEN(B$17))=B$17,B$17,C$17)))</f>
        <v>lojda</v>
      </c>
      <c r="H409" s="95" t="str">
        <f t="shared" si="150"/>
        <v>2-0</v>
      </c>
      <c r="I409" s="95" t="str">
        <f>IF(AND(J409=$I$2,F$17=0,NOT(E$17="")),IF(OR(AND(Y409=AA409,Z409=AB409),AND(Y409=AB409,Z409=AA409)),"",IF(AND(Y409=Z409,AA409=AB409),Y409&amp;" +2 v. "&amp;AA409&amp;" +2, ",IF(Y409=AA409,Z409&amp;" v. "&amp;AB409&amp;", ",IF(Z409=AB409,Y409&amp;" v. "&amp;AA409&amp;", ",IF(Y409=AB409,Z409&amp;" v. "&amp;AA409&amp;", ",IF(Z409=AA409,Y409&amp;" v. "&amp;AB409&amp;", ",Y409&amp;" v. "&amp;AA409&amp;", "&amp;Z409&amp;" v. "&amp;AB409&amp;", ")))))),"")</f>
        <v/>
      </c>
      <c r="J409" s="97">
        <f>D$17</f>
        <v>1</v>
      </c>
      <c r="K409" s="95" t="str">
        <f t="shared" si="151"/>
        <v>PTS</v>
      </c>
      <c r="L409" s="95" t="str">
        <f t="shared" si="152"/>
        <v>6-3 6-2</v>
      </c>
      <c r="M409" s="95" t="str">
        <f t="shared" si="153"/>
        <v>63 62</v>
      </c>
      <c r="N409" s="95" t="str">
        <f t="shared" si="154"/>
        <v>63 62</v>
      </c>
      <c r="O409" s="95" t="str">
        <f t="shared" si="155"/>
        <v>63 62</v>
      </c>
      <c r="P409" s="95" t="str">
        <f t="shared" si="156"/>
        <v>63 62</v>
      </c>
      <c r="Q409" s="95">
        <f>IF(AND(G409=T$17,LEN(G409)&gt;1),1,0)</f>
        <v>0</v>
      </c>
      <c r="R409" s="97">
        <f>Doubles!G$17</f>
        <v>16</v>
      </c>
      <c r="S409" s="95">
        <f>IF(AND(H409=H$17,LEN(H409)&gt;1,Q409=1),1,0)</f>
        <v>0</v>
      </c>
      <c r="V409" s="97">
        <f>VLOOKUP(16,R394:S417,2,0)</f>
        <v>0</v>
      </c>
      <c r="W409" s="95" t="str">
        <f t="shared" si="157"/>
        <v/>
      </c>
      <c r="X409" s="95">
        <f>IF(F$17=0,IF(AND(G383=G435,NOT(G357=G383),NOT(G409=G435),LEN(W357)&gt;0),2,IF(LEN(W357)=0,0,1)),0)</f>
        <v>0</v>
      </c>
      <c r="AC409" s="95" t="str">
        <f>IF(AND(LEN(W409)&gt;0,F$17=0),IF(X409=2,W409&amp;" +2, ",W409&amp;", "),"")</f>
        <v/>
      </c>
    </row>
    <row r="410" spans="1:29">
      <c r="A410" s="95">
        <v>17</v>
      </c>
      <c r="B410" s="95">
        <f>IF(Doubles!O80="",0,Doubles!O80)</f>
        <v>0</v>
      </c>
      <c r="C410" s="99" t="str">
        <f>IF(OR(LEFT(B410,LEN(B$18))=B$18,LEFT(B410,LEN(C$18))=C$18,LEN(B410)&lt;2),"",IF(B410="no pick","","Wrong pick"))</f>
        <v/>
      </c>
      <c r="D410" s="95">
        <f t="shared" si="148"/>
        <v>0</v>
      </c>
      <c r="E410" s="95">
        <f t="shared" si="149"/>
        <v>0</v>
      </c>
      <c r="G410" s="95" t="str">
        <f>IF(B410=0,"",IF(B410="no pick","No Pick",IF(LEFT(B410,LEN(B$18))=B$18,B$18,C$18)))</f>
        <v/>
      </c>
      <c r="H410" s="95" t="str">
        <f t="shared" si="150"/>
        <v>0-0</v>
      </c>
      <c r="I410" s="95" t="str">
        <f>IF(AND(J410=$I$2,F$18=0,NOT(E$18="")),IF(OR(AND(Y410=AA410,Z410=AB410),AND(Y410=AB410,Z410=AA410)),"",IF(AND(Y410=Z410,AA410=AB410),Y410&amp;" +2 v. "&amp;AA410&amp;" +2, ",IF(Y410=AA410,Z410&amp;" v. "&amp;AB410&amp;", ",IF(Z410=AB410,Y410&amp;" v. "&amp;AA410&amp;", ",IF(Y410=AB410,Z410&amp;" v. "&amp;AA410&amp;", ",IF(Z410=AA410,Y410&amp;" v. "&amp;AB410&amp;", ",Y410&amp;" v. "&amp;AA410&amp;", "&amp;Z410&amp;" v. "&amp;AB410&amp;", ")))))),"")</f>
        <v/>
      </c>
      <c r="J410" s="95">
        <f>D$18</f>
        <v>0</v>
      </c>
      <c r="K410" s="95" t="str">
        <f t="shared" si="151"/>
        <v>SR</v>
      </c>
      <c r="L410" s="95" t="str">
        <f t="shared" si="152"/>
        <v>0</v>
      </c>
      <c r="M410" s="95" t="str">
        <f t="shared" si="153"/>
        <v>0</v>
      </c>
      <c r="N410" s="95" t="str">
        <f t="shared" si="154"/>
        <v>0</v>
      </c>
      <c r="O410" s="95" t="str">
        <f t="shared" si="155"/>
        <v>0</v>
      </c>
      <c r="P410" s="95" t="str">
        <f t="shared" si="156"/>
        <v>0</v>
      </c>
      <c r="Q410" s="95">
        <f>IF(AND(G410=T$18,LEN(G410)&gt;1),1,0)</f>
        <v>0</v>
      </c>
      <c r="R410" s="97">
        <f>Doubles!G$18</f>
        <v>17</v>
      </c>
      <c r="S410" s="95">
        <f>IF(AND(H410=H$18,LEN(H410)&gt;1,Q410=1),1,0)</f>
        <v>0</v>
      </c>
      <c r="V410" s="95">
        <f>VLOOKUP(17,R394:S417,2,0)</f>
        <v>0</v>
      </c>
      <c r="W410" s="95" t="str">
        <f t="shared" si="157"/>
        <v/>
      </c>
      <c r="X410" s="95">
        <f>IF(F$18=0,IF(AND(G384=G436,NOT(G358=G384),NOT(G410=G436),LEN(W358)&gt;0),2,IF(LEN(W358)=0,0,1)),0)</f>
        <v>0</v>
      </c>
      <c r="AC410" s="95" t="str">
        <f>IF(AND(LEN(W410)&gt;0,F$18=0),IF(X410=2,W410&amp;" +2, ",W410&amp;", "),"")</f>
        <v/>
      </c>
    </row>
    <row r="411" spans="1:29">
      <c r="A411" s="95">
        <v>18</v>
      </c>
      <c r="B411" s="95">
        <f>IF(Doubles!O81="",0,Doubles!O81)</f>
        <v>0</v>
      </c>
      <c r="C411" s="99" t="str">
        <f>IF(OR(LEFT(B411,LEN(B$19))=B$19,LEFT(B411,LEN(C$19))=C$19,LEN(B411)&lt;2),"",IF(B411="no pick","","Wrong pick"))</f>
        <v/>
      </c>
      <c r="D411" s="95">
        <f t="shared" si="148"/>
        <v>0</v>
      </c>
      <c r="E411" s="95">
        <f t="shared" si="149"/>
        <v>0</v>
      </c>
      <c r="G411" s="95" t="str">
        <f>IF(B411=0,"",IF(B411="no pick","No Pick",IF(LEFT(B411,LEN(B$19))=B$19,B$19,C$19)))</f>
        <v/>
      </c>
      <c r="H411" s="95" t="str">
        <f t="shared" si="150"/>
        <v>0-0</v>
      </c>
      <c r="I411" s="95" t="str">
        <f>IF(AND(J411=$I$2,F$19=0,NOT(E$19="")),IF(OR(AND(Y411=AA411,Z411=AB411),AND(Y411=AB411,Z411=AA411)),"",IF(AND(Y411=Z411,AA411=AB411),Y411&amp;" +2 v. "&amp;AA411&amp;" +2, ",IF(Y411=AA411,Z411&amp;" v. "&amp;AB411&amp;", ",IF(Z411=AB411,Y411&amp;" v. "&amp;AA411&amp;", ",IF(Y411=AB411,Z411&amp;" v. "&amp;AA411&amp;", ",IF(Z411=AA411,Y411&amp;" v. "&amp;AB411&amp;", ",Y411&amp;" v. "&amp;AA411&amp;", "&amp;Z411&amp;" v. "&amp;AB411&amp;", ")))))),"")</f>
        <v/>
      </c>
      <c r="J411" s="95">
        <f>D$19</f>
        <v>0</v>
      </c>
      <c r="K411" s="95" t="str">
        <f t="shared" si="151"/>
        <v>SR</v>
      </c>
      <c r="L411" s="95" t="str">
        <f t="shared" si="152"/>
        <v>0</v>
      </c>
      <c r="M411" s="95" t="str">
        <f t="shared" si="153"/>
        <v>0</v>
      </c>
      <c r="N411" s="95" t="str">
        <f t="shared" si="154"/>
        <v>0</v>
      </c>
      <c r="O411" s="95" t="str">
        <f t="shared" si="155"/>
        <v>0</v>
      </c>
      <c r="P411" s="95" t="str">
        <f t="shared" si="156"/>
        <v>0</v>
      </c>
      <c r="Q411" s="95">
        <f>IF(AND(G411=T$19,LEN(G411)&gt;1),1,0)</f>
        <v>0</v>
      </c>
      <c r="R411" s="97">
        <f>Doubles!G$19</f>
        <v>18</v>
      </c>
      <c r="S411" s="95">
        <f>IF(AND(H411=H$19,LEN(H411)&gt;1,Q411=1),1,0)</f>
        <v>0</v>
      </c>
      <c r="V411" s="97">
        <f>VLOOKUP(18,R394:S417,2,0)</f>
        <v>0</v>
      </c>
      <c r="W411" s="95" t="str">
        <f t="shared" si="157"/>
        <v/>
      </c>
      <c r="X411" s="95">
        <f>IF(F$19=0,IF(AND(G385=G437,NOT(G359=G385),NOT(G411=G437),LEN(W359)&gt;0),2,IF(LEN(W359)=0,0,1)),0)</f>
        <v>0</v>
      </c>
      <c r="AC411" s="95" t="str">
        <f>IF(AND(LEN(W411)&gt;0,F$19=0),IF(X411=2,W411&amp;" +2, ",W411&amp;", "),"")</f>
        <v/>
      </c>
    </row>
    <row r="412" spans="1:29">
      <c r="A412" s="95">
        <v>19</v>
      </c>
      <c r="B412" s="95">
        <f>IF(Doubles!O82="",0,Doubles!O82)</f>
        <v>0</v>
      </c>
      <c r="C412" s="99" t="str">
        <f>IF(OR(LEFT(B412,LEN(B$20))=B$20,LEFT(B412,LEN(C$20))=C$20,LEN(B412)&lt;2),"",IF(B412="no pick","","Wrong pick"))</f>
        <v/>
      </c>
      <c r="D412" s="95">
        <f t="shared" si="148"/>
        <v>0</v>
      </c>
      <c r="E412" s="95">
        <f t="shared" si="149"/>
        <v>0</v>
      </c>
      <c r="G412" s="95" t="str">
        <f>IF(B412=0,"",IF(B412="no pick","No Pick",IF(LEFT(B412,LEN(B$20))=B$20,B$20,C$20)))</f>
        <v/>
      </c>
      <c r="H412" s="95" t="str">
        <f t="shared" si="150"/>
        <v>0-0</v>
      </c>
      <c r="I412" s="95" t="str">
        <f>IF(AND(J412=$I$2,F$20=0,NOT(E$20="")),IF(OR(AND(Y412=AA412,Z412=AB412),AND(Y412=AB412,Z412=AA412)),"",IF(AND(Y412=Z412,AA412=AB412),Y412&amp;" +2 v. "&amp;AA412&amp;" +2, ",IF(Y412=AA412,Z412&amp;" v. "&amp;AB412&amp;", ",IF(Z412=AB412,Y412&amp;" v. "&amp;AA412&amp;", ",IF(Y412=AB412,Z412&amp;" v. "&amp;AA412&amp;", ",IF(Z412=AA412,Y412&amp;" v. "&amp;AB412&amp;", ",Y412&amp;" v. "&amp;AA412&amp;", "&amp;Z412&amp;" v. "&amp;AB412&amp;", ")))))),"")</f>
        <v/>
      </c>
      <c r="J412" s="95">
        <f>D$20</f>
        <v>0</v>
      </c>
      <c r="K412" s="95" t="str">
        <f t="shared" si="151"/>
        <v>SR</v>
      </c>
      <c r="L412" s="95" t="str">
        <f t="shared" si="152"/>
        <v>0</v>
      </c>
      <c r="M412" s="95" t="str">
        <f t="shared" si="153"/>
        <v>0</v>
      </c>
      <c r="N412" s="95" t="str">
        <f t="shared" si="154"/>
        <v>0</v>
      </c>
      <c r="O412" s="95" t="str">
        <f t="shared" si="155"/>
        <v>0</v>
      </c>
      <c r="P412" s="95" t="str">
        <f t="shared" si="156"/>
        <v>0</v>
      </c>
      <c r="Q412" s="95">
        <f>IF(AND(G412=T$20,LEN(G412)&gt;1),1,0)</f>
        <v>0</v>
      </c>
      <c r="R412" s="97">
        <f>Doubles!G$20</f>
        <v>19</v>
      </c>
      <c r="S412" s="95">
        <f>IF(AND(H412=H$20,LEN(H412)&gt;1,Q412=1),1,0)</f>
        <v>0</v>
      </c>
      <c r="V412" s="97">
        <f>VLOOKUP(19,R394:S417,2,0)</f>
        <v>0</v>
      </c>
      <c r="W412" s="95" t="str">
        <f t="shared" si="157"/>
        <v/>
      </c>
      <c r="X412" s="95">
        <f>IF(F$20=0,IF(AND(G386=G438,NOT(G360=G386),NOT(G412=G438),LEN(W360)&gt;0),2,IF(LEN(W360)=0,0,1)),0)</f>
        <v>0</v>
      </c>
      <c r="AC412" s="95" t="str">
        <f>IF(AND(LEN(W412)&gt;0,F$20=0),IF(X412=2,W412&amp;" +2, ",W412&amp;", "),"")</f>
        <v/>
      </c>
    </row>
    <row r="413" spans="1:29">
      <c r="A413" s="95">
        <v>20</v>
      </c>
      <c r="B413" s="95">
        <f>IF(Doubles!O83="",0,Doubles!O83)</f>
        <v>0</v>
      </c>
      <c r="C413" s="99" t="str">
        <f>IF(OR(LEFT(B413,LEN(B$21))=B$21,LEFT(B413,LEN(C$21))=C$21,LEN(B413)&lt;2),"",IF(B413="no pick","","Wrong pick"))</f>
        <v/>
      </c>
      <c r="D413" s="95">
        <f t="shared" si="148"/>
        <v>0</v>
      </c>
      <c r="E413" s="95">
        <f t="shared" si="149"/>
        <v>0</v>
      </c>
      <c r="G413" s="95" t="str">
        <f>IF(B413=0,"",IF(B413="no pick","No Pick",IF(LEFT(B413,LEN(B$21))=B$21,B$21,C$21)))</f>
        <v/>
      </c>
      <c r="H413" s="95" t="str">
        <f t="shared" si="150"/>
        <v>0-0</v>
      </c>
      <c r="I413" s="95" t="str">
        <f>IF(AND(J413=$I$2,F$21=0,NOT(E$21="")),IF(OR(AND(Y413=AA413,Z413=AB413),AND(Y413=AB413,Z413=AA413)),"",IF(AND(Y413=Z413,AA413=AB413),Y413&amp;" +2 v. "&amp;AA413&amp;" +2, ",IF(Y413=AA413,Z413&amp;" v. "&amp;AB413&amp;", ",IF(Z413=AB413,Y413&amp;" v. "&amp;AA413&amp;", ",IF(Y413=AB413,Z413&amp;" v. "&amp;AA413&amp;", ",IF(Z413=AA413,Y413&amp;" v. "&amp;AB413&amp;", ",Y413&amp;" v. "&amp;AA413&amp;", "&amp;Z413&amp;" v. "&amp;AB413&amp;", ")))))),"")</f>
        <v/>
      </c>
      <c r="J413" s="95">
        <f>D$21</f>
        <v>0</v>
      </c>
      <c r="K413" s="95" t="str">
        <f t="shared" si="151"/>
        <v>SR</v>
      </c>
      <c r="L413" s="95" t="str">
        <f t="shared" si="152"/>
        <v>0</v>
      </c>
      <c r="M413" s="95" t="str">
        <f t="shared" si="153"/>
        <v>0</v>
      </c>
      <c r="N413" s="95" t="str">
        <f t="shared" si="154"/>
        <v>0</v>
      </c>
      <c r="O413" s="95" t="str">
        <f t="shared" si="155"/>
        <v>0</v>
      </c>
      <c r="P413" s="95" t="str">
        <f t="shared" si="156"/>
        <v>0</v>
      </c>
      <c r="Q413" s="95">
        <f>IF(AND(G413=T$21,LEN(G413)&gt;1),1,0)</f>
        <v>0</v>
      </c>
      <c r="R413" s="97">
        <f>Doubles!G$21</f>
        <v>20</v>
      </c>
      <c r="S413" s="95">
        <f>IF(AND(H413=H$21,LEN(H413)&gt;1,Q413=1),1,0)</f>
        <v>0</v>
      </c>
      <c r="V413" s="97">
        <f>VLOOKUP(20,R394:S417,2,0)</f>
        <v>0</v>
      </c>
      <c r="W413" s="95" t="str">
        <f t="shared" si="157"/>
        <v/>
      </c>
      <c r="X413" s="95">
        <f>IF(F$21=0,IF(AND(G387=G439,NOT(G361=G387),NOT(G413=G439),LEN(W361)&gt;0),2,IF(LEN(W361)=0,0,1)),0)</f>
        <v>0</v>
      </c>
      <c r="AC413" s="95" t="str">
        <f>IF(AND(LEN(W413)&gt;0,F$21=0),IF(X413=2,W413&amp;" +2, ",W413&amp;", "),"")</f>
        <v/>
      </c>
    </row>
    <row r="414" spans="1:29">
      <c r="A414" s="95">
        <v>21</v>
      </c>
      <c r="B414" s="95">
        <f>IF(Doubles!O84="",0,Doubles!O84)</f>
        <v>0</v>
      </c>
      <c r="C414" s="99" t="str">
        <f>IF(OR(LEFT(B414,LEN(B$22))=B$22,LEFT(B414,LEN(C$22))=C$22,LEN(B414)&lt;2),"",IF(B414="no pick","","Wrong pick"))</f>
        <v/>
      </c>
      <c r="D414" s="95">
        <f t="shared" si="148"/>
        <v>0</v>
      </c>
      <c r="E414" s="95">
        <f t="shared" si="149"/>
        <v>0</v>
      </c>
      <c r="G414" s="95" t="str">
        <f>IF(B414=0,"",IF(B414="no pick","No Pick",IF(LEFT(B414,LEN(B$22))=B$22,B$22,C$22)))</f>
        <v/>
      </c>
      <c r="H414" s="95" t="str">
        <f t="shared" si="150"/>
        <v>0-0</v>
      </c>
      <c r="I414" s="95" t="str">
        <f>IF(AND(J414=$I$2,F$22=0,NOT(E$22="")),IF(OR(AND(Y414=AA414,Z414=AB414),AND(Y414=AB414,Z414=AA414)),"",IF(AND(Y414=Z414,AA414=AB414),Y414&amp;" +2 v. "&amp;AA414&amp;" +2, ",IF(Y414=AA414,Z414&amp;" v. "&amp;AB414&amp;", ",IF(Z414=AB414,Y414&amp;" v. "&amp;AA414&amp;", ",IF(Y414=AB414,Z414&amp;" v. "&amp;AA414&amp;", ",IF(Z414=AA414,Y414&amp;" v. "&amp;AB414&amp;", ",Y414&amp;" v. "&amp;AA414&amp;", "&amp;Z414&amp;" v. "&amp;AB414&amp;", ")))))),"")</f>
        <v/>
      </c>
      <c r="J414" s="95">
        <f>D$22</f>
        <v>0</v>
      </c>
      <c r="K414" s="95" t="str">
        <f t="shared" si="151"/>
        <v>SR</v>
      </c>
      <c r="L414" s="95" t="str">
        <f t="shared" si="152"/>
        <v>0</v>
      </c>
      <c r="M414" s="95" t="str">
        <f t="shared" si="153"/>
        <v>0</v>
      </c>
      <c r="N414" s="95" t="str">
        <f t="shared" si="154"/>
        <v>0</v>
      </c>
      <c r="O414" s="95" t="str">
        <f t="shared" si="155"/>
        <v>0</v>
      </c>
      <c r="P414" s="95" t="str">
        <f t="shared" si="156"/>
        <v>0</v>
      </c>
      <c r="Q414" s="95">
        <f>IF(AND(G414=T$22,LEN(G414)&gt;1),1,0)</f>
        <v>0</v>
      </c>
      <c r="R414" s="97">
        <f>Doubles!G$22</f>
        <v>21</v>
      </c>
      <c r="S414" s="95">
        <f>IF(AND(H414=H$22,LEN(H414)&gt;1,Q414=1),1,0)</f>
        <v>0</v>
      </c>
      <c r="V414" s="97">
        <f>VLOOKUP(21,R394:S417,2,0)</f>
        <v>0</v>
      </c>
      <c r="W414" s="95" t="str">
        <f t="shared" si="157"/>
        <v/>
      </c>
      <c r="X414" s="95">
        <f>IF(F$22=0,IF(AND(G388=G440,NOT(G362=G388),NOT(G414=G440),LEN(W362)&gt;0),2,IF(LEN(W362)=0,0,1)),0)</f>
        <v>0</v>
      </c>
      <c r="AC414" s="95" t="str">
        <f>IF(AND(LEN(W414)&gt;0,F$22=0),IF(X414=2,W414&amp;" +2, ",W414&amp;", "),"")</f>
        <v/>
      </c>
    </row>
    <row r="415" spans="1:29">
      <c r="A415" s="95">
        <v>22</v>
      </c>
      <c r="B415" s="95">
        <f>IF(Doubles!O85="",0,Doubles!O85)</f>
        <v>0</v>
      </c>
      <c r="C415" s="99" t="str">
        <f>IF(OR(LEFT(B415,LEN(B$23))=B$23,LEFT(B415,LEN(C$23))=C$23,LEN(B415)&lt;2),"",IF(B415="no pick","","Wrong pick"))</f>
        <v/>
      </c>
      <c r="D415" s="95">
        <f t="shared" si="148"/>
        <v>0</v>
      </c>
      <c r="E415" s="95">
        <f t="shared" si="149"/>
        <v>0</v>
      </c>
      <c r="G415" s="95" t="str">
        <f>IF(B415=0,"",IF(B415="no pick","No Pick",IF(LEFT(B415,LEN(B$23))=B$23,B$23,C$23)))</f>
        <v/>
      </c>
      <c r="H415" s="95" t="str">
        <f t="shared" si="150"/>
        <v>0-0</v>
      </c>
      <c r="I415" s="95" t="str">
        <f>IF(AND(J415=$I$2,F$23=0,NOT(E$23="")),IF(OR(AND(Y415=AA415,Z415=AB415),AND(Y415=AB415,Z415=AA415)),"",IF(AND(Y415=Z415,AA415=AB415),Y415&amp;" +2 v. "&amp;AA415&amp;" +2, ",IF(Y415=AA415,Z415&amp;" v. "&amp;AB415&amp;", ",IF(Z415=AB415,Y415&amp;" v. "&amp;AA415&amp;", ",IF(Y415=AB415,Z415&amp;" v. "&amp;AA415&amp;", ",IF(Z415=AA415,Y415&amp;" v. "&amp;AB415&amp;", ",Y415&amp;" v. "&amp;AA415&amp;", "&amp;Z415&amp;" v. "&amp;AB415&amp;", ")))))),"")</f>
        <v/>
      </c>
      <c r="J415" s="95">
        <f>D$23</f>
        <v>0</v>
      </c>
      <c r="K415" s="95" t="str">
        <f t="shared" si="151"/>
        <v>SR</v>
      </c>
      <c r="L415" s="95" t="str">
        <f t="shared" si="152"/>
        <v>0</v>
      </c>
      <c r="M415" s="95" t="str">
        <f t="shared" si="153"/>
        <v>0</v>
      </c>
      <c r="N415" s="95" t="str">
        <f t="shared" si="154"/>
        <v>0</v>
      </c>
      <c r="O415" s="95" t="str">
        <f t="shared" si="155"/>
        <v>0</v>
      </c>
      <c r="P415" s="95" t="str">
        <f t="shared" si="156"/>
        <v>0</v>
      </c>
      <c r="Q415" s="95">
        <f>IF(AND(G415=T$23,LEN(G415)&gt;1),1,0)</f>
        <v>0</v>
      </c>
      <c r="R415" s="97">
        <f>Doubles!G$23</f>
        <v>22</v>
      </c>
      <c r="S415" s="95">
        <f>IF(AND(H415=H$23,LEN(H415)&gt;1,Q415=1),1,0)</f>
        <v>0</v>
      </c>
      <c r="V415" s="97">
        <f>VLOOKUP(22,R394:S417,2,0)</f>
        <v>0</v>
      </c>
      <c r="W415" s="95" t="str">
        <f t="shared" si="157"/>
        <v/>
      </c>
      <c r="X415" s="95">
        <f>IF(F$23=0,IF(AND(G389=G441,NOT(G363=G389),NOT(G415=G441),LEN(W363)&gt;0),2,IF(LEN(W363)=0,0,1)),0)</f>
        <v>0</v>
      </c>
      <c r="AC415" s="95" t="str">
        <f>IF(AND(LEN(W415)&gt;0,F$23=0),IF(X415=2,W415&amp;" +2, ",W415&amp;", "),"")</f>
        <v/>
      </c>
    </row>
    <row r="416" spans="1:29">
      <c r="A416" s="95">
        <v>23</v>
      </c>
      <c r="B416" s="95">
        <f>IF(Doubles!O86="",0,Doubles!O86)</f>
        <v>0</v>
      </c>
      <c r="C416" s="99" t="str">
        <f>IF(OR(LEFT(B416,LEN(B$24))=B$24,LEFT(B416,LEN(C$24))=C$24,LEN(B416)&lt;2),"",IF(B416="no pick","","Wrong pick"))</f>
        <v/>
      </c>
      <c r="D416" s="95">
        <f t="shared" si="148"/>
        <v>0</v>
      </c>
      <c r="E416" s="95">
        <f t="shared" si="149"/>
        <v>0</v>
      </c>
      <c r="G416" s="95" t="str">
        <f>IF(B416=0,"",IF(B416="no pick","No Pick",IF(LEFT(B416,LEN(B$24))=B$24,B$24,C$24)))</f>
        <v/>
      </c>
      <c r="H416" s="95" t="str">
        <f t="shared" si="150"/>
        <v>0-0</v>
      </c>
      <c r="I416" s="95" t="str">
        <f>IF(AND(J416=$I$2,F$24=0,NOT(E$24="")),IF(OR(AND(Y416=AA416,Z416=AB416),AND(Y416=AB416,Z416=AA416)),"",IF(AND(Y416=Z416,AA416=AB416),Y416&amp;" +2 v. "&amp;AA416&amp;" +2, ",IF(Y416=AA416,Z416&amp;" v. "&amp;AB416&amp;", ",IF(Z416=AB416,Y416&amp;" v. "&amp;AA416&amp;", ",IF(Y416=AB416,Z416&amp;" v. "&amp;AA416&amp;", ",IF(Z416=AA416,Y416&amp;" v. "&amp;AB416&amp;", ",Y416&amp;" v. "&amp;AA416&amp;", "&amp;Z416&amp;" v. "&amp;AB416&amp;", ")))))),"")</f>
        <v/>
      </c>
      <c r="J416" s="95">
        <f>D$24</f>
        <v>0</v>
      </c>
      <c r="K416" s="95" t="str">
        <f t="shared" si="151"/>
        <v>SR</v>
      </c>
      <c r="L416" s="95" t="str">
        <f t="shared" si="152"/>
        <v>0</v>
      </c>
      <c r="M416" s="95" t="str">
        <f t="shared" si="153"/>
        <v>0</v>
      </c>
      <c r="N416" s="95" t="str">
        <f t="shared" si="154"/>
        <v>0</v>
      </c>
      <c r="O416" s="95" t="str">
        <f t="shared" si="155"/>
        <v>0</v>
      </c>
      <c r="P416" s="95" t="str">
        <f t="shared" si="156"/>
        <v>0</v>
      </c>
      <c r="Q416" s="95">
        <f>IF(AND(G416=T$24,LEN(G416)&gt;1),1,0)</f>
        <v>0</v>
      </c>
      <c r="R416" s="97">
        <f>Doubles!G$24</f>
        <v>23</v>
      </c>
      <c r="S416" s="95">
        <f>IF(AND(H416=H$24,LEN(H416)&gt;1,Q416=1),1,0)</f>
        <v>0</v>
      </c>
      <c r="V416" s="97">
        <f>VLOOKUP(23,R394:S417,2,0)</f>
        <v>0</v>
      </c>
      <c r="W416" s="95" t="str">
        <f t="shared" si="157"/>
        <v/>
      </c>
      <c r="X416" s="95">
        <f>IF(F$24=0,IF(AND(G390=G442,NOT(G364=G390),NOT(G416=G442),LEN(W364)&gt;0),2,IF(LEN(W364)=0,0,1)),0)</f>
        <v>0</v>
      </c>
      <c r="AC416" s="95" t="str">
        <f>IF(AND(LEN(W416)&gt;0,F$24=0),IF(X416=2,W416&amp;" +2, ",W416&amp;", "),"")</f>
        <v/>
      </c>
    </row>
    <row r="417" spans="1:29">
      <c r="A417" s="95">
        <v>24</v>
      </c>
      <c r="B417" s="95">
        <f>IF(Doubles!O87="",0,Doubles!O87)</f>
        <v>0</v>
      </c>
      <c r="C417" s="99" t="str">
        <f>IF(OR(LEFT(B417,LEN(B$25))=B$25,LEFT(B417,LEN(C$25))=C$25,LEN(B417)&lt;2),"",IF(B417="no pick","","Wrong pick"))</f>
        <v/>
      </c>
      <c r="D417" s="95">
        <f t="shared" si="148"/>
        <v>0</v>
      </c>
      <c r="E417" s="95">
        <f t="shared" si="149"/>
        <v>0</v>
      </c>
      <c r="G417" s="95" t="str">
        <f>IF(B417=0,"",IF(B417="no pick","No Pick",IF(LEFT(B417,LEN(B$25))=B$25,B$25,C$25)))</f>
        <v/>
      </c>
      <c r="H417" s="95" t="str">
        <f t="shared" si="150"/>
        <v>0-0</v>
      </c>
      <c r="I417" s="95" t="str">
        <f>IF(AND(J417=$I$2,F$25=0,NOT(E$25="")),IF(OR(AND(Y417=AA417,Z417=AB417),AND(Y417=AB417,Z417=AA417)),"",IF(AND(Y417=Z417,AA417=AB417),Y417&amp;" +2 v. "&amp;AA417&amp;" +2, ",IF(Y417=AA417,Z417&amp;" v. "&amp;AB417&amp;", ",IF(Z417=AB417,Y417&amp;" v. "&amp;AA417&amp;", ",IF(Y417=AB417,Z417&amp;" v. "&amp;AA417&amp;", ",IF(Z417=AA417,Y417&amp;" v. "&amp;AB417&amp;", ",Y417&amp;" v. "&amp;AA417&amp;", "&amp;Z417&amp;" v. "&amp;AB417&amp;", ")))))),"")</f>
        <v/>
      </c>
      <c r="J417" s="95">
        <f>D$25</f>
        <v>0</v>
      </c>
      <c r="K417" s="95" t="str">
        <f t="shared" si="151"/>
        <v>SR</v>
      </c>
      <c r="L417" s="95" t="str">
        <f t="shared" si="152"/>
        <v>0</v>
      </c>
      <c r="M417" s="95" t="str">
        <f t="shared" si="153"/>
        <v>0</v>
      </c>
      <c r="N417" s="95" t="str">
        <f t="shared" si="154"/>
        <v>0</v>
      </c>
      <c r="O417" s="95" t="str">
        <f t="shared" si="155"/>
        <v>0</v>
      </c>
      <c r="P417" s="95" t="str">
        <f t="shared" si="156"/>
        <v>0</v>
      </c>
      <c r="Q417" s="95">
        <f>IF(AND(G417=T$25,LEN(G417)&gt;1),1,0)</f>
        <v>0</v>
      </c>
      <c r="R417" s="97">
        <f>Doubles!G$25</f>
        <v>24</v>
      </c>
      <c r="S417" s="95">
        <f>IF(AND(H417=H$25,LEN(H417)&gt;1,Q417=1),1,0)</f>
        <v>0</v>
      </c>
      <c r="V417" s="97">
        <f>VLOOKUP(24,R394:S417,2,0)</f>
        <v>0</v>
      </c>
      <c r="W417" s="95" t="str">
        <f t="shared" si="157"/>
        <v/>
      </c>
      <c r="X417" s="95">
        <f>IF(F$25=0,IF(AND(G391=G443,NOT(G365=G391),NOT(G417=G443),LEN(W365)&gt;0),2,IF(LEN(W365)=0,0,1)),0)</f>
        <v>0</v>
      </c>
      <c r="AC417" s="95" t="str">
        <f>IF(AND(LEN(W417)&gt;0,F$25=0),IF(X417=2,W417&amp;" +2, ",W417&amp;", "),"")</f>
        <v/>
      </c>
    </row>
    <row r="419" spans="1:29">
      <c r="A419" s="95">
        <f>IF(LEN(VLOOKUP(B419,Doubles!$B$2:$D$17,3,0))&gt;0,VLOOKUP(B419,Doubles!$B$2:$D$17,3,0),"")</f>
        <v>3</v>
      </c>
      <c r="B419" s="96" t="str">
        <f>Doubles!Q63</f>
        <v>theKSHE</v>
      </c>
      <c r="C419" s="96">
        <v>4</v>
      </c>
      <c r="D419" s="95" t="str">
        <f>VLOOKUP(B419,Doubles!$B$2:$F$17,5,0)</f>
        <v>POR</v>
      </c>
      <c r="J419" s="95" t="s">
        <v>88</v>
      </c>
      <c r="Q419" s="95" t="s">
        <v>121</v>
      </c>
      <c r="S419" s="95" t="s">
        <v>122</v>
      </c>
      <c r="T419" s="95" t="str">
        <f>B419</f>
        <v>theKSHE</v>
      </c>
      <c r="V419" s="95" t="s">
        <v>122</v>
      </c>
    </row>
    <row r="420" spans="1:29">
      <c r="A420" s="95">
        <v>1</v>
      </c>
      <c r="B420" s="95" t="str">
        <f>IF(Doubles!Q64="",0,Doubles!Q64)</f>
        <v>TRAVAGLIA 6-4 4-6 6-3</v>
      </c>
      <c r="C420" s="99" t="str">
        <f>IF(OR(LEFT(B420,LEN(B$2))=B$2,LEFT(B420,LEN(C$2))=C$2,LEN(B420)&lt;2),"",IF(B420="no pick","","Wrong pick"))</f>
        <v/>
      </c>
      <c r="E420" s="95">
        <f t="shared" ref="E420:E443" si="158">IF(AND($I$2=J420,B420=0),1,0)</f>
        <v>0</v>
      </c>
      <c r="F420" s="95" t="str">
        <f>IF(AND(SUM(E420:E443)=$I$4,NOT(B419="Bye")),"Missing picks from "&amp;B419&amp;" ","")</f>
        <v/>
      </c>
      <c r="G420" s="95" t="str">
        <f>IF(B420=0,"",IF(B420="no pick","No Pick",IF(LEFT(B420,LEN(B$2))=B$2,B$2,C$2)))</f>
        <v>Travaglia</v>
      </c>
      <c r="H420" s="95" t="str">
        <f t="shared" ref="H420:H443" si="159">IF(L420="","",IF(K420="PTS",IF(LEN(O420)&lt;8,"2-0","2-1"),LEFT(O420,1)&amp;"-"&amp;RIGHT(O420,1)))</f>
        <v>2-1</v>
      </c>
      <c r="J420" s="97">
        <f>D$2</f>
        <v>1</v>
      </c>
      <c r="K420" s="95" t="str">
        <f t="shared" ref="K420:K443" si="160">IF(LEN(L420)&gt;0,IF(LEN(O420)&lt;4,"SR","PTS"),"")</f>
        <v>PTS</v>
      </c>
      <c r="L420" s="95" t="str">
        <f t="shared" ref="L420:L443" si="161">TRIM(RIGHT(B420,LEN(B420)-LEN(G420)))</f>
        <v>6-4 4-6 6-3</v>
      </c>
      <c r="M420" s="95" t="str">
        <f t="shared" ref="M420:M443" si="162">SUBSTITUTE(L420,"-","")</f>
        <v>64 46 63</v>
      </c>
      <c r="N420" s="95" t="str">
        <f t="shared" ref="N420:N443" si="163">SUBSTITUTE(M420,","," ")</f>
        <v>64 46 63</v>
      </c>
      <c r="O420" s="95" t="str">
        <f t="shared" ref="O420:O443" si="164">IF(AND(LEN(TRIM(SUBSTITUTE(P420,"/","")))&gt;6,OR(LEFT(TRIM(SUBSTITUTE(P420,"/","")),2)="20",LEFT(TRIM(SUBSTITUTE(P420,"/","")),2)="21")),RIGHT(TRIM(SUBSTITUTE(P420,"/","")),LEN(TRIM(SUBSTITUTE(P420,"/","")))-3),TRIM(SUBSTITUTE(P420,"/","")))</f>
        <v>64 46 63</v>
      </c>
      <c r="P420" s="95" t="str">
        <f t="shared" ref="P420:P443" si="165">SUBSTITUTE(N420,":","")</f>
        <v>64 46 63</v>
      </c>
      <c r="Q420" s="95">
        <f>IF(AND(G420=T$2,LEN(G420)&gt;1),1,0)</f>
        <v>0</v>
      </c>
      <c r="R420" s="97">
        <f>Doubles!G$2</f>
        <v>1</v>
      </c>
      <c r="S420" s="95">
        <f>IF(AND(H420=H$2,LEN(H420)&gt;1,Q420=1),1,0)</f>
        <v>0</v>
      </c>
      <c r="V420" s="97">
        <f>VLOOKUP(1,R420:S443,2,0)</f>
        <v>0</v>
      </c>
      <c r="W420" s="95">
        <v>1</v>
      </c>
    </row>
    <row r="421" spans="1:29">
      <c r="A421" s="95">
        <v>2</v>
      </c>
      <c r="B421" s="95" t="str">
        <f>IF(Doubles!Q65="",0,Doubles!Q65)</f>
        <v>MACHADO 6-2 6-0</v>
      </c>
      <c r="C421" s="99" t="str">
        <f>IF(OR(LEFT(B421,LEN(B$3))=B$3,LEFT(B421,LEN(C$3))=C$3,LEN(B421)&lt;2),"",IF(B421="no pick","","Wrong pick"))</f>
        <v/>
      </c>
      <c r="E421" s="95">
        <f t="shared" si="158"/>
        <v>0</v>
      </c>
      <c r="G421" s="95" t="str">
        <f>IF(B421=0,"",IF(B421="no pick","No Pick",IF(LEFT(B421,LEN(B$3))=B$3,B$3,C$3)))</f>
        <v>Machado</v>
      </c>
      <c r="H421" s="95" t="str">
        <f t="shared" si="159"/>
        <v>2-0</v>
      </c>
      <c r="J421" s="97">
        <f>D$3</f>
        <v>1</v>
      </c>
      <c r="K421" s="95" t="str">
        <f t="shared" si="160"/>
        <v>PTS</v>
      </c>
      <c r="L421" s="95" t="str">
        <f t="shared" si="161"/>
        <v>6-2 6-0</v>
      </c>
      <c r="M421" s="95" t="str">
        <f t="shared" si="162"/>
        <v>62 60</v>
      </c>
      <c r="N421" s="95" t="str">
        <f t="shared" si="163"/>
        <v>62 60</v>
      </c>
      <c r="O421" s="95" t="str">
        <f t="shared" si="164"/>
        <v>62 60</v>
      </c>
      <c r="P421" s="95" t="str">
        <f t="shared" si="165"/>
        <v>62 60</v>
      </c>
      <c r="Q421" s="95">
        <f>IF(AND(G421=T$3,LEN(G421)&gt;1),1,0)</f>
        <v>0</v>
      </c>
      <c r="R421" s="97">
        <f>Doubles!G$3</f>
        <v>2</v>
      </c>
      <c r="S421" s="95">
        <f>IF(AND(H421=H$3,LEN(H421)&gt;1,Q421=1),1,0)</f>
        <v>0</v>
      </c>
      <c r="V421" s="97">
        <f>VLOOKUP(2,R420:S443,2,0)</f>
        <v>0</v>
      </c>
      <c r="W421" s="95">
        <v>2</v>
      </c>
    </row>
    <row r="422" spans="1:29">
      <c r="A422" s="95">
        <v>3</v>
      </c>
      <c r="B422" s="95" t="str">
        <f>IF(Doubles!Q66="",0,Doubles!Q66)</f>
        <v>JUNQUEIRA 6-4 6-3</v>
      </c>
      <c r="C422" s="99" t="str">
        <f>IF(OR(LEFT(B422,LEN(B$4))=B$4,LEFT(B422,LEN(C$4))=C$4,LEN(B422)&lt;2),"",IF(B422="no pick","","Wrong pick"))</f>
        <v/>
      </c>
      <c r="E422" s="95">
        <f t="shared" si="158"/>
        <v>0</v>
      </c>
      <c r="G422" s="95" t="str">
        <f>IF(B422=0,"",IF(B422="no pick","No Pick",IF(LEFT(B422,LEN(B$4))=B$4,B$4,C$4)))</f>
        <v>Junqueira</v>
      </c>
      <c r="H422" s="95" t="str">
        <f t="shared" si="159"/>
        <v>2-0</v>
      </c>
      <c r="J422" s="97">
        <f>D$4</f>
        <v>1</v>
      </c>
      <c r="K422" s="95" t="str">
        <f t="shared" si="160"/>
        <v>PTS</v>
      </c>
      <c r="L422" s="95" t="str">
        <f t="shared" si="161"/>
        <v>6-4 6-3</v>
      </c>
      <c r="M422" s="95" t="str">
        <f t="shared" si="162"/>
        <v>64 63</v>
      </c>
      <c r="N422" s="95" t="str">
        <f t="shared" si="163"/>
        <v>64 63</v>
      </c>
      <c r="O422" s="95" t="str">
        <f t="shared" si="164"/>
        <v>64 63</v>
      </c>
      <c r="P422" s="95" t="str">
        <f t="shared" si="165"/>
        <v>64 63</v>
      </c>
      <c r="Q422" s="95">
        <f>IF(AND(G422=T$4,LEN(G422)&gt;1),1,0)</f>
        <v>0</v>
      </c>
      <c r="R422" s="97">
        <f>Doubles!G$4</f>
        <v>3</v>
      </c>
      <c r="S422" s="95">
        <f>IF(AND(H422=H$4,LEN(H422)&gt;1,Q422=1),1,0)</f>
        <v>0</v>
      </c>
      <c r="V422" s="97">
        <f>VLOOKUP(3,R420:S443,2,0)</f>
        <v>0</v>
      </c>
      <c r="W422" s="95">
        <v>3</v>
      </c>
    </row>
    <row r="423" spans="1:29">
      <c r="A423" s="95">
        <v>4</v>
      </c>
      <c r="B423" s="95" t="str">
        <f>IF(Doubles!Q67="",0,Doubles!Q67)</f>
        <v>GAIO 6-4 7-6</v>
      </c>
      <c r="C423" s="99" t="str">
        <f>IF(OR(LEFT(B423,LEN(B$5))=B$5,LEFT(B423,LEN(C$5))=C$5,LEN(B423)&lt;2),"",IF(B423="no pick","","Wrong pick"))</f>
        <v/>
      </c>
      <c r="E423" s="95">
        <f t="shared" si="158"/>
        <v>0</v>
      </c>
      <c r="G423" s="95" t="str">
        <f>IF(B423=0,"",IF(B423="no pick","No Pick",IF(LEFT(B423,LEN(B$5))=B$5,B$5,C$5)))</f>
        <v>Gaio</v>
      </c>
      <c r="H423" s="95" t="str">
        <f t="shared" si="159"/>
        <v>2-0</v>
      </c>
      <c r="J423" s="97">
        <f>D$5</f>
        <v>1</v>
      </c>
      <c r="K423" s="95" t="str">
        <f t="shared" si="160"/>
        <v>PTS</v>
      </c>
      <c r="L423" s="95" t="str">
        <f t="shared" si="161"/>
        <v>6-4 7-6</v>
      </c>
      <c r="M423" s="95" t="str">
        <f t="shared" si="162"/>
        <v>64 76</v>
      </c>
      <c r="N423" s="95" t="str">
        <f t="shared" si="163"/>
        <v>64 76</v>
      </c>
      <c r="O423" s="95" t="str">
        <f t="shared" si="164"/>
        <v>64 76</v>
      </c>
      <c r="P423" s="95" t="str">
        <f t="shared" si="165"/>
        <v>64 76</v>
      </c>
      <c r="Q423" s="95">
        <f>IF(AND(G423=T$5,LEN(G423)&gt;1),1,0)</f>
        <v>0</v>
      </c>
      <c r="R423" s="97">
        <f>Doubles!G$5</f>
        <v>4</v>
      </c>
      <c r="S423" s="95">
        <f>IF(AND(H423=H$5,LEN(H423)&gt;1,Q423=1),1,0)</f>
        <v>0</v>
      </c>
      <c r="V423" s="97">
        <f>VLOOKUP(4,R420:S443,2,0)</f>
        <v>0</v>
      </c>
      <c r="W423" s="95">
        <v>4</v>
      </c>
    </row>
    <row r="424" spans="1:29">
      <c r="A424" s="95">
        <v>5</v>
      </c>
      <c r="B424" s="95" t="str">
        <f>IF(Doubles!Q68="",0,Doubles!Q68)</f>
        <v>PODLIPBIK-CASTILLO 6-0 6-0</v>
      </c>
      <c r="C424" s="99" t="str">
        <f>IF(OR(LEFT(B424,LEN(B$6))=B$6,LEFT(B424,LEN(C$6))=C$6,LEN(B424)&lt;2),"",IF(B424="no pick","","Wrong pick"))</f>
        <v/>
      </c>
      <c r="E424" s="95">
        <f t="shared" si="158"/>
        <v>0</v>
      </c>
      <c r="G424" s="95" t="str">
        <f>IF(B424=0,"",IF(B424="no pick","No Pick",IF(LEFT(B424,LEN(B$6))=B$6,B$6,C$6)))</f>
        <v>PODLIPBIK-CASTILLO</v>
      </c>
      <c r="H424" s="95" t="str">
        <f t="shared" si="159"/>
        <v>2-0</v>
      </c>
      <c r="J424" s="97">
        <f>D$6</f>
        <v>1</v>
      </c>
      <c r="K424" s="95" t="str">
        <f t="shared" si="160"/>
        <v>PTS</v>
      </c>
      <c r="L424" s="95" t="str">
        <f t="shared" si="161"/>
        <v>6-0 6-0</v>
      </c>
      <c r="M424" s="95" t="str">
        <f t="shared" si="162"/>
        <v>60 60</v>
      </c>
      <c r="N424" s="95" t="str">
        <f t="shared" si="163"/>
        <v>60 60</v>
      </c>
      <c r="O424" s="95" t="str">
        <f t="shared" si="164"/>
        <v>60 60</v>
      </c>
      <c r="P424" s="95" t="str">
        <f t="shared" si="165"/>
        <v>60 60</v>
      </c>
      <c r="Q424" s="95">
        <f>IF(AND(G424=T$6,LEN(G424)&gt;1),1,0)</f>
        <v>0</v>
      </c>
      <c r="R424" s="97">
        <f>Doubles!G$6</f>
        <v>5</v>
      </c>
      <c r="S424" s="95">
        <f>IF(AND(H424=H$6,LEN(H424)&gt;1,Q424=1),1,0)</f>
        <v>0</v>
      </c>
      <c r="V424" s="97">
        <f>VLOOKUP(5,R420:S443,2,0)</f>
        <v>0</v>
      </c>
      <c r="W424" s="95">
        <v>5</v>
      </c>
    </row>
    <row r="425" spans="1:29">
      <c r="A425" s="95">
        <v>6</v>
      </c>
      <c r="B425" s="95" t="str">
        <f>IF(Doubles!Q69="",0,Doubles!Q69)</f>
        <v>DURAN 6-4 4-6 6-2</v>
      </c>
      <c r="C425" s="99" t="str">
        <f>IF(OR(LEFT(B425,LEN(B$7))=B$7,LEFT(B425,LEN(C$7))=C$7,LEN(B425)&lt;2),"",IF(B425="no pick","","Wrong pick"))</f>
        <v/>
      </c>
      <c r="E425" s="95">
        <f t="shared" si="158"/>
        <v>0</v>
      </c>
      <c r="G425" s="95" t="str">
        <f>IF(B425=0,"",IF(B425="no pick","No Pick",IF(LEFT(B425,LEN(B$7))=B$7,B$7,C$7)))</f>
        <v>Duran</v>
      </c>
      <c r="H425" s="95" t="str">
        <f t="shared" si="159"/>
        <v>2-1</v>
      </c>
      <c r="J425" s="97">
        <f>D$7</f>
        <v>1</v>
      </c>
      <c r="K425" s="95" t="str">
        <f t="shared" si="160"/>
        <v>PTS</v>
      </c>
      <c r="L425" s="95" t="str">
        <f t="shared" si="161"/>
        <v>6-4 4-6 6-2</v>
      </c>
      <c r="M425" s="95" t="str">
        <f t="shared" si="162"/>
        <v>64 46 62</v>
      </c>
      <c r="N425" s="95" t="str">
        <f t="shared" si="163"/>
        <v>64 46 62</v>
      </c>
      <c r="O425" s="95" t="str">
        <f t="shared" si="164"/>
        <v>64 46 62</v>
      </c>
      <c r="P425" s="95" t="str">
        <f t="shared" si="165"/>
        <v>64 46 62</v>
      </c>
      <c r="Q425" s="95">
        <f>IF(AND(G425=T$7,LEN(G425)&gt;1),1,0)</f>
        <v>0</v>
      </c>
      <c r="R425" s="97">
        <f>Doubles!G$7</f>
        <v>6</v>
      </c>
      <c r="S425" s="95">
        <f>IF(AND(H425=H$7,LEN(H425)&gt;1,Q425=1),1,0)</f>
        <v>0</v>
      </c>
      <c r="V425" s="97">
        <f>VLOOKUP(6,R420:S443,2,0)</f>
        <v>0</v>
      </c>
      <c r="W425" s="95">
        <v>6</v>
      </c>
    </row>
    <row r="426" spans="1:29">
      <c r="A426" s="95">
        <v>7</v>
      </c>
      <c r="B426" s="95" t="str">
        <f>IF(Doubles!Q70="",0,Doubles!Q70)</f>
        <v>MICHON 6-4 6-3</v>
      </c>
      <c r="C426" s="99" t="str">
        <f>IF(OR(LEFT(B426,LEN(B$8))=B$8,LEFT(B426,LEN(C$8))=C$8,LEN(B426)&lt;2),"",IF(B426="no pick","","Wrong pick"))</f>
        <v/>
      </c>
      <c r="E426" s="95">
        <f t="shared" si="158"/>
        <v>0</v>
      </c>
      <c r="G426" s="95" t="str">
        <f>IF(B426=0,"",IF(B426="no pick","No Pick",IF(LEFT(B426,LEN(B$8))=B$8,B$8,C$8)))</f>
        <v>Michon</v>
      </c>
      <c r="H426" s="95" t="str">
        <f t="shared" si="159"/>
        <v>2-0</v>
      </c>
      <c r="J426" s="97">
        <f>D$8</f>
        <v>1</v>
      </c>
      <c r="K426" s="95" t="str">
        <f t="shared" si="160"/>
        <v>PTS</v>
      </c>
      <c r="L426" s="95" t="str">
        <f t="shared" si="161"/>
        <v>6-4 6-3</v>
      </c>
      <c r="M426" s="95" t="str">
        <f t="shared" si="162"/>
        <v>64 63</v>
      </c>
      <c r="N426" s="95" t="str">
        <f t="shared" si="163"/>
        <v>64 63</v>
      </c>
      <c r="O426" s="95" t="str">
        <f t="shared" si="164"/>
        <v>64 63</v>
      </c>
      <c r="P426" s="95" t="str">
        <f t="shared" si="165"/>
        <v>64 63</v>
      </c>
      <c r="Q426" s="95">
        <f>IF(AND(G426=T$8,LEN(G426)&gt;1),1,0)</f>
        <v>0</v>
      </c>
      <c r="R426" s="97">
        <f>Doubles!G$8</f>
        <v>7</v>
      </c>
      <c r="S426" s="95">
        <f>IF(AND(H426=H$8,LEN(H426)&gt;1,Q426=1),1,0)</f>
        <v>0</v>
      </c>
      <c r="V426" s="97">
        <f>VLOOKUP(7,R420:S443,2,0)</f>
        <v>0</v>
      </c>
      <c r="W426" s="95">
        <v>7</v>
      </c>
    </row>
    <row r="427" spans="1:29">
      <c r="A427" s="95">
        <v>8</v>
      </c>
      <c r="B427" s="95" t="str">
        <f>IF(Doubles!Q71="",0,Doubles!Q71)</f>
        <v>GONZALEZ 6-4 6-2</v>
      </c>
      <c r="C427" s="99" t="str">
        <f>IF(OR(LEFT(B427,LEN(B$9))=B$9,LEFT(B427,LEN(C$9))=C$9,LEN(B427)&lt;2),"",IF(B427="no pick","","Wrong pick"))</f>
        <v/>
      </c>
      <c r="E427" s="95">
        <f t="shared" si="158"/>
        <v>0</v>
      </c>
      <c r="G427" s="95" t="str">
        <f>IF(B427=0,"",IF(B427="no pick","No Pick",IF(LEFT(B427,LEN(B$9))=B$9,B$9,C$9)))</f>
        <v>gonzalez</v>
      </c>
      <c r="H427" s="95" t="str">
        <f t="shared" si="159"/>
        <v>2-0</v>
      </c>
      <c r="J427" s="97">
        <f>D$9</f>
        <v>1</v>
      </c>
      <c r="K427" s="95" t="str">
        <f t="shared" si="160"/>
        <v>PTS</v>
      </c>
      <c r="L427" s="95" t="str">
        <f t="shared" si="161"/>
        <v>6-4 6-2</v>
      </c>
      <c r="M427" s="95" t="str">
        <f t="shared" si="162"/>
        <v>64 62</v>
      </c>
      <c r="N427" s="95" t="str">
        <f t="shared" si="163"/>
        <v>64 62</v>
      </c>
      <c r="O427" s="95" t="str">
        <f t="shared" si="164"/>
        <v>64 62</v>
      </c>
      <c r="P427" s="95" t="str">
        <f t="shared" si="165"/>
        <v>64 62</v>
      </c>
      <c r="Q427" s="95">
        <f>IF(AND(G427=T$9,LEN(G427)&gt;1),1,0)</f>
        <v>0</v>
      </c>
      <c r="R427" s="97">
        <f>Doubles!G$9</f>
        <v>8</v>
      </c>
      <c r="S427" s="95">
        <f>IF(AND(H427=H$9,LEN(H427)&gt;1,Q427=1),1,0)</f>
        <v>0</v>
      </c>
      <c r="V427" s="97">
        <f>VLOOKUP(8,R420:S443,2,0)</f>
        <v>0</v>
      </c>
      <c r="W427" s="95">
        <v>8</v>
      </c>
    </row>
    <row r="428" spans="1:29">
      <c r="A428" s="95">
        <v>9</v>
      </c>
      <c r="B428" s="95" t="str">
        <f>IF(Doubles!Q72="",0,Doubles!Q72)</f>
        <v>PEREIRA 6-3 6-2</v>
      </c>
      <c r="C428" s="99" t="str">
        <f>IF(OR(LEFT(B428,LEN(B$10))=B$10,LEFT(B428,LEN(C$10))=C$10,LEN(B428)&lt;2),"",IF(B428="no pick","","Wrong pick"))</f>
        <v/>
      </c>
      <c r="E428" s="95">
        <f t="shared" si="158"/>
        <v>0</v>
      </c>
      <c r="G428" s="95" t="str">
        <f>IF(B428=0,"",IF(B428="no pick","No Pick",IF(LEFT(B428,LEN(B$10))=B$10,B$10,C$10)))</f>
        <v>pereira</v>
      </c>
      <c r="H428" s="95" t="str">
        <f t="shared" si="159"/>
        <v>2-0</v>
      </c>
      <c r="J428" s="97">
        <f>D$10</f>
        <v>1</v>
      </c>
      <c r="K428" s="95" t="str">
        <f t="shared" si="160"/>
        <v>PTS</v>
      </c>
      <c r="L428" s="95" t="str">
        <f t="shared" si="161"/>
        <v>6-3 6-2</v>
      </c>
      <c r="M428" s="95" t="str">
        <f t="shared" si="162"/>
        <v>63 62</v>
      </c>
      <c r="N428" s="95" t="str">
        <f t="shared" si="163"/>
        <v>63 62</v>
      </c>
      <c r="O428" s="95" t="str">
        <f t="shared" si="164"/>
        <v>63 62</v>
      </c>
      <c r="P428" s="95" t="str">
        <f t="shared" si="165"/>
        <v>63 62</v>
      </c>
      <c r="Q428" s="95">
        <f>IF(AND(G428=T$10,LEN(G428)&gt;1),1,0)</f>
        <v>0</v>
      </c>
      <c r="R428" s="97">
        <f>Doubles!G$10</f>
        <v>9</v>
      </c>
      <c r="S428" s="95">
        <f>IF(AND(H428=H$10,LEN(H428)&gt;1,Q428=1),1,0)</f>
        <v>0</v>
      </c>
      <c r="V428" s="97">
        <f>VLOOKUP(9,R420:S443,2,0)</f>
        <v>0</v>
      </c>
      <c r="W428" s="95">
        <v>9</v>
      </c>
    </row>
    <row r="429" spans="1:29">
      <c r="A429" s="95">
        <v>10</v>
      </c>
      <c r="B429" s="95" t="str">
        <f>IF(Doubles!Q73="",0,Doubles!Q73)</f>
        <v>COLLINARI 6-3 6-4</v>
      </c>
      <c r="C429" s="99" t="str">
        <f>IF(OR(LEFT(B429,LEN(B$11))=B$11,LEFT(B429,LEN(C$11))=C$11,LEN(B429)&lt;2),"",IF(B429="no pick","","Wrong pick"))</f>
        <v/>
      </c>
      <c r="E429" s="95">
        <f t="shared" si="158"/>
        <v>0</v>
      </c>
      <c r="G429" s="95" t="str">
        <f>IF(B429=0,"",IF(B429="no pick","No Pick",IF(LEFT(B429,LEN(B$11))=B$11,B$11,C$11)))</f>
        <v>collinari</v>
      </c>
      <c r="H429" s="95" t="str">
        <f t="shared" si="159"/>
        <v>2-0</v>
      </c>
      <c r="J429" s="97">
        <f>D$11</f>
        <v>1</v>
      </c>
      <c r="K429" s="95" t="str">
        <f t="shared" si="160"/>
        <v>PTS</v>
      </c>
      <c r="L429" s="95" t="str">
        <f t="shared" si="161"/>
        <v>6-3 6-4</v>
      </c>
      <c r="M429" s="95" t="str">
        <f t="shared" si="162"/>
        <v>63 64</v>
      </c>
      <c r="N429" s="95" t="str">
        <f t="shared" si="163"/>
        <v>63 64</v>
      </c>
      <c r="O429" s="95" t="str">
        <f t="shared" si="164"/>
        <v>63 64</v>
      </c>
      <c r="P429" s="95" t="str">
        <f t="shared" si="165"/>
        <v>63 64</v>
      </c>
      <c r="Q429" s="95">
        <f>IF(AND(G429=T$11,LEN(G429)&gt;1),1,0)</f>
        <v>0</v>
      </c>
      <c r="R429" s="97">
        <f>Doubles!G$11</f>
        <v>10</v>
      </c>
      <c r="S429" s="95">
        <f>IF(AND(H429=H$11,LEN(H429)&gt;1,Q429=1),1,0)</f>
        <v>0</v>
      </c>
      <c r="V429" s="97">
        <f>VLOOKUP(10,R420:S443,2,0)</f>
        <v>0</v>
      </c>
      <c r="W429" s="95">
        <v>10</v>
      </c>
    </row>
    <row r="430" spans="1:29">
      <c r="A430" s="95">
        <v>11</v>
      </c>
      <c r="B430" s="95" t="str">
        <f>IF(Doubles!Q74="",0,Doubles!Q74)</f>
        <v>GINER 6-4 6-2</v>
      </c>
      <c r="C430" s="99" t="str">
        <f>IF(OR(LEFT(B430,LEN(B$12))=B$12,LEFT(B430,LEN(C$12))=C$12,LEN(B430)&lt;2),"",IF(B430="no pick","","Wrong pick"))</f>
        <v/>
      </c>
      <c r="E430" s="95">
        <f t="shared" si="158"/>
        <v>0</v>
      </c>
      <c r="G430" s="95" t="str">
        <f>IF(B430=0,"",IF(B430="no pick","No Pick",IF(LEFT(B430,LEN(B$12))=B$12,B$12,C$12)))</f>
        <v>giner</v>
      </c>
      <c r="H430" s="95" t="str">
        <f t="shared" si="159"/>
        <v>2-0</v>
      </c>
      <c r="J430" s="97">
        <f>D$12</f>
        <v>1</v>
      </c>
      <c r="K430" s="95" t="str">
        <f t="shared" si="160"/>
        <v>PTS</v>
      </c>
      <c r="L430" s="95" t="str">
        <f t="shared" si="161"/>
        <v>6-4 6-2</v>
      </c>
      <c r="M430" s="95" t="str">
        <f t="shared" si="162"/>
        <v>64 62</v>
      </c>
      <c r="N430" s="95" t="str">
        <f t="shared" si="163"/>
        <v>64 62</v>
      </c>
      <c r="O430" s="95" t="str">
        <f t="shared" si="164"/>
        <v>64 62</v>
      </c>
      <c r="P430" s="95" t="str">
        <f t="shared" si="165"/>
        <v>64 62</v>
      </c>
      <c r="Q430" s="95">
        <f>IF(AND(G430=T$12,LEN(G430)&gt;1),1,0)</f>
        <v>0</v>
      </c>
      <c r="R430" s="97">
        <f>Doubles!G$12</f>
        <v>11</v>
      </c>
      <c r="S430" s="95">
        <f>IF(AND(H430=H$12,LEN(H430)&gt;1,Q430=1),1,0)</f>
        <v>0</v>
      </c>
      <c r="V430" s="97">
        <f>VLOOKUP(11,R420:S443,2,0)</f>
        <v>0</v>
      </c>
      <c r="W430" s="95">
        <v>11</v>
      </c>
    </row>
    <row r="431" spans="1:29">
      <c r="A431" s="95">
        <v>12</v>
      </c>
      <c r="B431" s="95" t="str">
        <f>IF(Doubles!Q75="",0,Doubles!Q75)</f>
        <v>GALDON 7-6 6-4</v>
      </c>
      <c r="C431" s="99" t="str">
        <f>IF(OR(LEFT(B431,LEN(B$13))=B$13,LEFT(B431,LEN(C$13))=C$13,LEN(B431)&lt;2),"",IF(B431="no pick","","Wrong pick"))</f>
        <v/>
      </c>
      <c r="E431" s="95">
        <f t="shared" si="158"/>
        <v>0</v>
      </c>
      <c r="G431" s="95" t="str">
        <f>IF(B431=0,"",IF(B431="no pick","No Pick",IF(LEFT(B431,LEN(B$13))=B$13,B$13,C$13)))</f>
        <v>galdon</v>
      </c>
      <c r="H431" s="95" t="str">
        <f t="shared" si="159"/>
        <v>2-0</v>
      </c>
      <c r="J431" s="97">
        <f>D$13</f>
        <v>1</v>
      </c>
      <c r="K431" s="95" t="str">
        <f t="shared" si="160"/>
        <v>PTS</v>
      </c>
      <c r="L431" s="95" t="str">
        <f t="shared" si="161"/>
        <v>7-6 6-4</v>
      </c>
      <c r="M431" s="95" t="str">
        <f t="shared" si="162"/>
        <v>76 64</v>
      </c>
      <c r="N431" s="95" t="str">
        <f t="shared" si="163"/>
        <v>76 64</v>
      </c>
      <c r="O431" s="95" t="str">
        <f t="shared" si="164"/>
        <v>76 64</v>
      </c>
      <c r="P431" s="95" t="str">
        <f t="shared" si="165"/>
        <v>76 64</v>
      </c>
      <c r="Q431" s="95">
        <f>IF(AND(G431=T$13,LEN(G431)&gt;1),1,0)</f>
        <v>0</v>
      </c>
      <c r="R431" s="97">
        <f>Doubles!G$13</f>
        <v>12</v>
      </c>
      <c r="S431" s="95">
        <f>IF(AND(H431=H$13,LEN(H431)&gt;1,Q431=1),1,0)</f>
        <v>0</v>
      </c>
      <c r="V431" s="97">
        <f>VLOOKUP(12,R420:S443,2,0)</f>
        <v>0</v>
      </c>
      <c r="W431" s="95">
        <v>12</v>
      </c>
    </row>
    <row r="432" spans="1:29">
      <c r="A432" s="95">
        <v>13</v>
      </c>
      <c r="B432" s="95" t="str">
        <f>IF(Doubles!Q76="",0,Doubles!Q76)</f>
        <v>LOBKOV 6-2 6-1</v>
      </c>
      <c r="C432" s="99" t="str">
        <f>IF(OR(LEFT(B432,LEN(B$14))=B$14,LEFT(B432,LEN(C$14))=C$14,LEN(B432)&lt;2),"",IF(B432="no pick","","Wrong pick"))</f>
        <v/>
      </c>
      <c r="E432" s="95">
        <f t="shared" si="158"/>
        <v>0</v>
      </c>
      <c r="G432" s="95" t="str">
        <f>IF(B432=0,"",IF(B432="no pick","No Pick",IF(LEFT(B432,LEN(B$14))=B$14,B$14,C$14)))</f>
        <v>lobkov</v>
      </c>
      <c r="H432" s="95" t="str">
        <f t="shared" si="159"/>
        <v>2-0</v>
      </c>
      <c r="J432" s="97">
        <f>D$14</f>
        <v>1</v>
      </c>
      <c r="K432" s="95" t="str">
        <f t="shared" si="160"/>
        <v>PTS</v>
      </c>
      <c r="L432" s="95" t="str">
        <f t="shared" si="161"/>
        <v>6-2 6-1</v>
      </c>
      <c r="M432" s="95" t="str">
        <f t="shared" si="162"/>
        <v>62 61</v>
      </c>
      <c r="N432" s="95" t="str">
        <f t="shared" si="163"/>
        <v>62 61</v>
      </c>
      <c r="O432" s="95" t="str">
        <f t="shared" si="164"/>
        <v>62 61</v>
      </c>
      <c r="P432" s="95" t="str">
        <f t="shared" si="165"/>
        <v>62 61</v>
      </c>
      <c r="Q432" s="95">
        <f>IF(AND(G432=T$14,LEN(G432)&gt;1),1,0)</f>
        <v>0</v>
      </c>
      <c r="R432" s="97">
        <f>Doubles!G$14</f>
        <v>13</v>
      </c>
      <c r="S432" s="95">
        <f>IF(AND(H432=H$14,LEN(H432)&gt;1,Q432=1),1,0)</f>
        <v>0</v>
      </c>
      <c r="V432" s="97">
        <f>VLOOKUP(13,R420:S443,2,0)</f>
        <v>0</v>
      </c>
      <c r="W432" s="95">
        <v>13</v>
      </c>
    </row>
    <row r="433" spans="1:29">
      <c r="A433" s="95">
        <v>14</v>
      </c>
      <c r="B433" s="95" t="str">
        <f>IF(Doubles!Q77="",0,Doubles!Q77)</f>
        <v>SANTOS 6-4 6-3</v>
      </c>
      <c r="C433" s="99" t="str">
        <f>IF(OR(LEFT(B433,LEN(B$15))=B$15,LEFT(B433,LEN(C$15))=C$15,LEN(B433)&lt;2),"",IF(B433="no pick","","Wrong pick"))</f>
        <v/>
      </c>
      <c r="E433" s="95">
        <f t="shared" si="158"/>
        <v>0</v>
      </c>
      <c r="G433" s="95" t="str">
        <f>IF(B433=0,"",IF(B433="no pick","No Pick",IF(LEFT(B433,LEN(B$15))=B$15,B$15,C$15)))</f>
        <v>santos</v>
      </c>
      <c r="H433" s="95" t="str">
        <f t="shared" si="159"/>
        <v>2-0</v>
      </c>
      <c r="J433" s="97">
        <f>D$15</f>
        <v>1</v>
      </c>
      <c r="K433" s="95" t="str">
        <f t="shared" si="160"/>
        <v>PTS</v>
      </c>
      <c r="L433" s="95" t="str">
        <f t="shared" si="161"/>
        <v>6-4 6-3</v>
      </c>
      <c r="M433" s="95" t="str">
        <f t="shared" si="162"/>
        <v>64 63</v>
      </c>
      <c r="N433" s="95" t="str">
        <f t="shared" si="163"/>
        <v>64 63</v>
      </c>
      <c r="O433" s="95" t="str">
        <f t="shared" si="164"/>
        <v>64 63</v>
      </c>
      <c r="P433" s="95" t="str">
        <f t="shared" si="165"/>
        <v>64 63</v>
      </c>
      <c r="Q433" s="95">
        <f>IF(AND(G433=T$15,LEN(G433)&gt;1),1,0)</f>
        <v>0</v>
      </c>
      <c r="R433" s="97">
        <f>Doubles!G$15</f>
        <v>14</v>
      </c>
      <c r="S433" s="95">
        <f>IF(AND(H433=H$15,LEN(H433)&gt;1,Q433=1),1,0)</f>
        <v>0</v>
      </c>
      <c r="V433" s="97">
        <f>VLOOKUP(14,R420:S443,2,0)</f>
        <v>0</v>
      </c>
      <c r="W433" s="95">
        <v>14</v>
      </c>
    </row>
    <row r="434" spans="1:29">
      <c r="A434" s="95">
        <v>15</v>
      </c>
      <c r="B434" s="95" t="str">
        <f>IF(Doubles!Q78="",0,Doubles!Q78)</f>
        <v>SANTOS 6-4 6-2</v>
      </c>
      <c r="C434" s="99" t="str">
        <f>IF(OR(LEFT(B434,LEN(B$16))=B$16,LEFT(B434,LEN(C$16))=C$16,LEN(B434)&lt;2),"",IF(B434="no pick","","Wrong pick"))</f>
        <v/>
      </c>
      <c r="E434" s="95">
        <f t="shared" si="158"/>
        <v>0</v>
      </c>
      <c r="G434" s="95" t="str">
        <f>IF(B434=0,"",IF(B434="no pick","No Pick",IF(LEFT(B434,LEN(B$16))=B$16,B$16,C$16)))</f>
        <v>santos</v>
      </c>
      <c r="H434" s="95" t="str">
        <f t="shared" si="159"/>
        <v>2-0</v>
      </c>
      <c r="J434" s="97">
        <f>D$16</f>
        <v>1</v>
      </c>
      <c r="K434" s="95" t="str">
        <f t="shared" si="160"/>
        <v>PTS</v>
      </c>
      <c r="L434" s="95" t="str">
        <f t="shared" si="161"/>
        <v>6-4 6-2</v>
      </c>
      <c r="M434" s="95" t="str">
        <f t="shared" si="162"/>
        <v>64 62</v>
      </c>
      <c r="N434" s="95" t="str">
        <f t="shared" si="163"/>
        <v>64 62</v>
      </c>
      <c r="O434" s="95" t="str">
        <f t="shared" si="164"/>
        <v>64 62</v>
      </c>
      <c r="P434" s="95" t="str">
        <f t="shared" si="165"/>
        <v>64 62</v>
      </c>
      <c r="Q434" s="95">
        <f>IF(AND(G434=T$16,LEN(G434)&gt;1),1,0)</f>
        <v>0</v>
      </c>
      <c r="R434" s="97">
        <f>Doubles!G$16</f>
        <v>15</v>
      </c>
      <c r="S434" s="95">
        <f>IF(AND(H434=H$16,LEN(H434)&gt;1,Q434=1),1,0)</f>
        <v>0</v>
      </c>
      <c r="V434" s="97">
        <f>VLOOKUP(15,R420:S443,2,0)</f>
        <v>0</v>
      </c>
      <c r="W434" s="95">
        <v>15</v>
      </c>
    </row>
    <row r="435" spans="1:29">
      <c r="A435" s="95">
        <v>16</v>
      </c>
      <c r="B435" s="95" t="str">
        <f>IF(Doubles!Q79="",0,Doubles!Q79)</f>
        <v>LOJDA 6-3 6-1</v>
      </c>
      <c r="C435" s="99" t="str">
        <f>IF(OR(LEFT(B435,LEN(B$17))=B$17,LEFT(B435,LEN(C$17))=C$17,LEN(B435)&lt;2),"",IF(B435="no pick","","Wrong pick"))</f>
        <v/>
      </c>
      <c r="E435" s="95">
        <f t="shared" si="158"/>
        <v>0</v>
      </c>
      <c r="G435" s="95" t="str">
        <f>IF(B435=0,"",IF(B435="no pick","No Pick",IF(LEFT(B435,LEN(B$17))=B$17,B$17,C$17)))</f>
        <v>lojda</v>
      </c>
      <c r="H435" s="95" t="str">
        <f t="shared" si="159"/>
        <v>2-0</v>
      </c>
      <c r="J435" s="97">
        <f>D$17</f>
        <v>1</v>
      </c>
      <c r="K435" s="95" t="str">
        <f t="shared" si="160"/>
        <v>PTS</v>
      </c>
      <c r="L435" s="95" t="str">
        <f t="shared" si="161"/>
        <v>6-3 6-1</v>
      </c>
      <c r="M435" s="95" t="str">
        <f t="shared" si="162"/>
        <v>63 61</v>
      </c>
      <c r="N435" s="95" t="str">
        <f t="shared" si="163"/>
        <v>63 61</v>
      </c>
      <c r="O435" s="95" t="str">
        <f t="shared" si="164"/>
        <v>63 61</v>
      </c>
      <c r="P435" s="95" t="str">
        <f t="shared" si="165"/>
        <v>63 61</v>
      </c>
      <c r="Q435" s="95">
        <f>IF(AND(G435=T$17,LEN(G435)&gt;1),1,0)</f>
        <v>0</v>
      </c>
      <c r="R435" s="97">
        <f>Doubles!G$17</f>
        <v>16</v>
      </c>
      <c r="S435" s="95">
        <f>IF(AND(H435=H$17,LEN(H435)&gt;1,Q435=1),1,0)</f>
        <v>0</v>
      </c>
      <c r="V435" s="97">
        <f>VLOOKUP(16,R420:S443,2,0)</f>
        <v>0</v>
      </c>
      <c r="W435" s="95">
        <v>16</v>
      </c>
    </row>
    <row r="436" spans="1:29">
      <c r="A436" s="95">
        <v>17</v>
      </c>
      <c r="B436" s="95">
        <f>IF(Doubles!Q80="",0,Doubles!Q80)</f>
        <v>0</v>
      </c>
      <c r="C436" s="99" t="str">
        <f>IF(OR(LEFT(B436,LEN(B$18))=B$18,LEFT(B436,LEN(C$18))=C$18,LEN(B436)&lt;2),"",IF(B436="no pick","","Wrong pick"))</f>
        <v/>
      </c>
      <c r="E436" s="95">
        <f t="shared" si="158"/>
        <v>0</v>
      </c>
      <c r="G436" s="95" t="str">
        <f>IF(B436=0,"",IF(B436="no pick","No Pick",IF(LEFT(B436,LEN(B$18))=B$18,B$18,C$18)))</f>
        <v/>
      </c>
      <c r="H436" s="95" t="str">
        <f t="shared" si="159"/>
        <v>0-0</v>
      </c>
      <c r="J436" s="95">
        <f>D$18</f>
        <v>0</v>
      </c>
      <c r="K436" s="95" t="str">
        <f t="shared" si="160"/>
        <v>SR</v>
      </c>
      <c r="L436" s="95" t="str">
        <f t="shared" si="161"/>
        <v>0</v>
      </c>
      <c r="M436" s="95" t="str">
        <f t="shared" si="162"/>
        <v>0</v>
      </c>
      <c r="N436" s="95" t="str">
        <f t="shared" si="163"/>
        <v>0</v>
      </c>
      <c r="O436" s="95" t="str">
        <f t="shared" si="164"/>
        <v>0</v>
      </c>
      <c r="P436" s="95" t="str">
        <f t="shared" si="165"/>
        <v>0</v>
      </c>
      <c r="Q436" s="95">
        <f>IF(AND(G436=T$18,LEN(G436)&gt;1),1,0)</f>
        <v>0</v>
      </c>
      <c r="R436" s="97">
        <f>Doubles!G$18</f>
        <v>17</v>
      </c>
      <c r="S436" s="95">
        <f>IF(AND(H436=H$18,LEN(H436)&gt;1,Q436=1),1,0)</f>
        <v>0</v>
      </c>
      <c r="V436" s="97">
        <f>VLOOKUP(17,R420:S443,2,0)</f>
        <v>0</v>
      </c>
      <c r="W436" s="95">
        <v>17</v>
      </c>
    </row>
    <row r="437" spans="1:29">
      <c r="A437" s="95">
        <v>18</v>
      </c>
      <c r="B437" s="95">
        <f>IF(Doubles!Q81="",0,Doubles!Q81)</f>
        <v>0</v>
      </c>
      <c r="C437" s="99" t="str">
        <f>IF(OR(LEFT(B437,LEN(B$19))=B$19,LEFT(B437,LEN(C$19))=C$19,LEN(B437)&lt;2),"",IF(B437="no pick","","Wrong pick"))</f>
        <v/>
      </c>
      <c r="E437" s="95">
        <f t="shared" si="158"/>
        <v>0</v>
      </c>
      <c r="G437" s="95" t="str">
        <f>IF(B437=0,"",IF(B437="no pick","No Pick",IF(LEFT(B437,LEN(B$19))=B$19,B$19,C$19)))</f>
        <v/>
      </c>
      <c r="H437" s="95" t="str">
        <f t="shared" si="159"/>
        <v>0-0</v>
      </c>
      <c r="J437" s="95">
        <f>D$19</f>
        <v>0</v>
      </c>
      <c r="K437" s="95" t="str">
        <f t="shared" si="160"/>
        <v>SR</v>
      </c>
      <c r="L437" s="95" t="str">
        <f t="shared" si="161"/>
        <v>0</v>
      </c>
      <c r="M437" s="95" t="str">
        <f t="shared" si="162"/>
        <v>0</v>
      </c>
      <c r="N437" s="95" t="str">
        <f t="shared" si="163"/>
        <v>0</v>
      </c>
      <c r="O437" s="95" t="str">
        <f t="shared" si="164"/>
        <v>0</v>
      </c>
      <c r="P437" s="95" t="str">
        <f t="shared" si="165"/>
        <v>0</v>
      </c>
      <c r="Q437" s="95">
        <f>IF(AND(G437=T$19,LEN(G437)&gt;1),1,0)</f>
        <v>0</v>
      </c>
      <c r="R437" s="97">
        <f>Doubles!G$19</f>
        <v>18</v>
      </c>
      <c r="S437" s="95">
        <f>IF(AND(H437=H$19,LEN(H437)&gt;1,Q437=1),1,0)</f>
        <v>0</v>
      </c>
      <c r="V437" s="97">
        <f>VLOOKUP(18,R420:S443,2,0)</f>
        <v>0</v>
      </c>
      <c r="W437" s="95">
        <v>18</v>
      </c>
    </row>
    <row r="438" spans="1:29">
      <c r="A438" s="95">
        <v>19</v>
      </c>
      <c r="B438" s="95">
        <f>IF(Doubles!Q82="",0,Doubles!Q82)</f>
        <v>0</v>
      </c>
      <c r="C438" s="99" t="str">
        <f>IF(OR(LEFT(B438,LEN(B$20))=B$20,LEFT(B438,LEN(C$20))=C$20,LEN(B438)&lt;2),"",IF(B438="no pick","","Wrong pick"))</f>
        <v/>
      </c>
      <c r="E438" s="95">
        <f t="shared" si="158"/>
        <v>0</v>
      </c>
      <c r="G438" s="95" t="str">
        <f>IF(B438=0,"",IF(B438="no pick","No Pick",IF(LEFT(B438,LEN(B$20))=B$20,B$20,C$20)))</f>
        <v/>
      </c>
      <c r="H438" s="95" t="str">
        <f t="shared" si="159"/>
        <v>0-0</v>
      </c>
      <c r="J438" s="95">
        <f>D$20</f>
        <v>0</v>
      </c>
      <c r="K438" s="95" t="str">
        <f t="shared" si="160"/>
        <v>SR</v>
      </c>
      <c r="L438" s="95" t="str">
        <f t="shared" si="161"/>
        <v>0</v>
      </c>
      <c r="M438" s="95" t="str">
        <f t="shared" si="162"/>
        <v>0</v>
      </c>
      <c r="N438" s="95" t="str">
        <f t="shared" si="163"/>
        <v>0</v>
      </c>
      <c r="O438" s="95" t="str">
        <f t="shared" si="164"/>
        <v>0</v>
      </c>
      <c r="P438" s="95" t="str">
        <f t="shared" si="165"/>
        <v>0</v>
      </c>
      <c r="Q438" s="95">
        <f>IF(AND(G438=T$20,LEN(G438)&gt;1),1,0)</f>
        <v>0</v>
      </c>
      <c r="R438" s="97">
        <f>Doubles!G$20</f>
        <v>19</v>
      </c>
      <c r="S438" s="95">
        <f>IF(AND(H438=H$20,LEN(H438)&gt;1,Q438=1),1,0)</f>
        <v>0</v>
      </c>
      <c r="V438" s="97">
        <f>VLOOKUP(19,R420:S443,2,0)</f>
        <v>0</v>
      </c>
      <c r="W438" s="95">
        <v>19</v>
      </c>
    </row>
    <row r="439" spans="1:29">
      <c r="A439" s="95">
        <v>20</v>
      </c>
      <c r="B439" s="95">
        <f>IF(Doubles!Q83="",0,Doubles!Q83)</f>
        <v>0</v>
      </c>
      <c r="C439" s="99" t="str">
        <f>IF(OR(LEFT(B439,LEN(B$21))=B$21,LEFT(B439,LEN(C$21))=C$21,LEN(B439)&lt;2),"",IF(B439="no pick","","Wrong pick"))</f>
        <v/>
      </c>
      <c r="E439" s="95">
        <f t="shared" si="158"/>
        <v>0</v>
      </c>
      <c r="G439" s="95" t="str">
        <f>IF(B439=0,"",IF(B439="no pick","No Pick",IF(LEFT(B439,LEN(B$21))=B$21,B$21,C$21)))</f>
        <v/>
      </c>
      <c r="H439" s="95" t="str">
        <f t="shared" si="159"/>
        <v>0-0</v>
      </c>
      <c r="J439" s="95">
        <f>D$21</f>
        <v>0</v>
      </c>
      <c r="K439" s="95" t="str">
        <f t="shared" si="160"/>
        <v>SR</v>
      </c>
      <c r="L439" s="95" t="str">
        <f t="shared" si="161"/>
        <v>0</v>
      </c>
      <c r="M439" s="95" t="str">
        <f t="shared" si="162"/>
        <v>0</v>
      </c>
      <c r="N439" s="95" t="str">
        <f t="shared" si="163"/>
        <v>0</v>
      </c>
      <c r="O439" s="95" t="str">
        <f t="shared" si="164"/>
        <v>0</v>
      </c>
      <c r="P439" s="95" t="str">
        <f t="shared" si="165"/>
        <v>0</v>
      </c>
      <c r="Q439" s="95">
        <f>IF(AND(G439=T$21,LEN(G439)&gt;1),1,0)</f>
        <v>0</v>
      </c>
      <c r="R439" s="97">
        <f>Doubles!G$21</f>
        <v>20</v>
      </c>
      <c r="S439" s="95">
        <f>IF(AND(H439=H$21,LEN(H439)&gt;1,Q439=1),1,0)</f>
        <v>0</v>
      </c>
      <c r="V439" s="97">
        <f>VLOOKUP(20,R420:S443,2,0)</f>
        <v>0</v>
      </c>
      <c r="W439" s="95">
        <v>20</v>
      </c>
    </row>
    <row r="440" spans="1:29">
      <c r="A440" s="95">
        <v>21</v>
      </c>
      <c r="B440" s="95">
        <f>IF(Doubles!Q84="",0,Doubles!Q84)</f>
        <v>0</v>
      </c>
      <c r="C440" s="99" t="str">
        <f>IF(OR(LEFT(B440,LEN(B$22))=B$22,LEFT(B440,LEN(C$22))=C$22,LEN(B440)&lt;2),"",IF(B440="no pick","","Wrong pick"))</f>
        <v/>
      </c>
      <c r="E440" s="95">
        <f t="shared" si="158"/>
        <v>0</v>
      </c>
      <c r="G440" s="95" t="str">
        <f>IF(B440=0,"",IF(B440="no pick","No Pick",IF(LEFT(B440,LEN(B$22))=B$22,B$22,C$22)))</f>
        <v/>
      </c>
      <c r="H440" s="95" t="str">
        <f t="shared" si="159"/>
        <v>0-0</v>
      </c>
      <c r="J440" s="95">
        <f>D$22</f>
        <v>0</v>
      </c>
      <c r="K440" s="95" t="str">
        <f t="shared" si="160"/>
        <v>SR</v>
      </c>
      <c r="L440" s="95" t="str">
        <f t="shared" si="161"/>
        <v>0</v>
      </c>
      <c r="M440" s="95" t="str">
        <f t="shared" si="162"/>
        <v>0</v>
      </c>
      <c r="N440" s="95" t="str">
        <f t="shared" si="163"/>
        <v>0</v>
      </c>
      <c r="O440" s="95" t="str">
        <f t="shared" si="164"/>
        <v>0</v>
      </c>
      <c r="P440" s="95" t="str">
        <f t="shared" si="165"/>
        <v>0</v>
      </c>
      <c r="Q440" s="95">
        <f>IF(AND(G440=T$22,LEN(G440)&gt;1),1,0)</f>
        <v>0</v>
      </c>
      <c r="R440" s="97">
        <f>Doubles!G$22</f>
        <v>21</v>
      </c>
      <c r="S440" s="95">
        <f>IF(AND(H440=H$22,LEN(H440)&gt;1,Q440=1),1,0)</f>
        <v>0</v>
      </c>
      <c r="V440" s="97">
        <f>VLOOKUP(21,R420:S443,2,0)</f>
        <v>0</v>
      </c>
      <c r="W440" s="95">
        <v>21</v>
      </c>
    </row>
    <row r="441" spans="1:29">
      <c r="A441" s="95">
        <v>22</v>
      </c>
      <c r="B441" s="95">
        <f>IF(Doubles!Q85="",0,Doubles!Q85)</f>
        <v>0</v>
      </c>
      <c r="C441" s="99" t="str">
        <f>IF(OR(LEFT(B441,LEN(B$23))=B$23,LEFT(B441,LEN(C$23))=C$23,LEN(B441)&lt;2),"",IF(B441="no pick","","Wrong pick"))</f>
        <v/>
      </c>
      <c r="E441" s="95">
        <f t="shared" si="158"/>
        <v>0</v>
      </c>
      <c r="G441" s="95" t="str">
        <f>IF(B441=0,"",IF(B441="no pick","No Pick",IF(LEFT(B441,LEN(B$23))=B$23,B$23,C$23)))</f>
        <v/>
      </c>
      <c r="H441" s="95" t="str">
        <f t="shared" si="159"/>
        <v>0-0</v>
      </c>
      <c r="J441" s="95">
        <f>D$23</f>
        <v>0</v>
      </c>
      <c r="K441" s="95" t="str">
        <f t="shared" si="160"/>
        <v>SR</v>
      </c>
      <c r="L441" s="95" t="str">
        <f t="shared" si="161"/>
        <v>0</v>
      </c>
      <c r="M441" s="95" t="str">
        <f t="shared" si="162"/>
        <v>0</v>
      </c>
      <c r="N441" s="95" t="str">
        <f t="shared" si="163"/>
        <v>0</v>
      </c>
      <c r="O441" s="95" t="str">
        <f t="shared" si="164"/>
        <v>0</v>
      </c>
      <c r="P441" s="95" t="str">
        <f t="shared" si="165"/>
        <v>0</v>
      </c>
      <c r="Q441" s="95">
        <f>IF(AND(G441=T$23,LEN(G441)&gt;1),1,0)</f>
        <v>0</v>
      </c>
      <c r="R441" s="97">
        <f>Doubles!G$23</f>
        <v>22</v>
      </c>
      <c r="S441" s="95">
        <f>IF(AND(H441=H$23,LEN(H441)&gt;1,Q441=1),1,0)</f>
        <v>0</v>
      </c>
      <c r="V441" s="97">
        <f>VLOOKUP(22,R420:S443,2,0)</f>
        <v>0</v>
      </c>
      <c r="W441" s="95">
        <v>22</v>
      </c>
    </row>
    <row r="442" spans="1:29">
      <c r="A442" s="95">
        <v>23</v>
      </c>
      <c r="B442" s="95">
        <f>IF(Doubles!Q86="",0,Doubles!Q86)</f>
        <v>0</v>
      </c>
      <c r="C442" s="99" t="str">
        <f>IF(OR(LEFT(B442,LEN(B$24))=B$24,LEFT(B442,LEN(C$24))=C$24,LEN(B442)&lt;2),"",IF(B442="no pick","","Wrong pick"))</f>
        <v/>
      </c>
      <c r="E442" s="95">
        <f t="shared" si="158"/>
        <v>0</v>
      </c>
      <c r="G442" s="95" t="str">
        <f>IF(B442=0,"",IF(B442="no pick","No Pick",IF(LEFT(B442,LEN(B$24))=B$24,B$24,C$24)))</f>
        <v/>
      </c>
      <c r="H442" s="95" t="str">
        <f t="shared" si="159"/>
        <v>0-0</v>
      </c>
      <c r="J442" s="95">
        <f>D$24</f>
        <v>0</v>
      </c>
      <c r="K442" s="95" t="str">
        <f t="shared" si="160"/>
        <v>SR</v>
      </c>
      <c r="L442" s="95" t="str">
        <f t="shared" si="161"/>
        <v>0</v>
      </c>
      <c r="M442" s="95" t="str">
        <f t="shared" si="162"/>
        <v>0</v>
      </c>
      <c r="N442" s="95" t="str">
        <f t="shared" si="163"/>
        <v>0</v>
      </c>
      <c r="O442" s="95" t="str">
        <f t="shared" si="164"/>
        <v>0</v>
      </c>
      <c r="P442" s="95" t="str">
        <f t="shared" si="165"/>
        <v>0</v>
      </c>
      <c r="Q442" s="95">
        <f>IF(AND(G442=T$24,LEN(G442)&gt;1),1,0)</f>
        <v>0</v>
      </c>
      <c r="R442" s="97">
        <f>Doubles!G$24</f>
        <v>23</v>
      </c>
      <c r="S442" s="95">
        <f>IF(AND(H442=H$24,LEN(H442)&gt;1,Q442=1),1,0)</f>
        <v>0</v>
      </c>
      <c r="V442" s="97">
        <f>VLOOKUP(23,R420:S443,2,0)</f>
        <v>0</v>
      </c>
      <c r="W442" s="95">
        <v>23</v>
      </c>
    </row>
    <row r="443" spans="1:29">
      <c r="A443" s="95">
        <v>24</v>
      </c>
      <c r="B443" s="95">
        <f>IF(Doubles!Q87="",0,Doubles!Q87)</f>
        <v>0</v>
      </c>
      <c r="C443" s="99" t="str">
        <f>IF(OR(LEFT(B443,LEN(B$25))=B$25,LEFT(B443,LEN(C$25))=C$25,LEN(B443)&lt;2),"",IF(B443="no pick","","Wrong pick"))</f>
        <v/>
      </c>
      <c r="E443" s="95">
        <f t="shared" si="158"/>
        <v>0</v>
      </c>
      <c r="G443" s="95" t="str">
        <f>IF(B443=0,"",IF(B443="no pick","No Pick",IF(LEFT(B443,LEN(B$25))=B$25,B$25,C$25)))</f>
        <v/>
      </c>
      <c r="H443" s="95" t="str">
        <f t="shared" si="159"/>
        <v>0-0</v>
      </c>
      <c r="J443" s="95">
        <f>D$25</f>
        <v>0</v>
      </c>
      <c r="K443" s="95" t="str">
        <f t="shared" si="160"/>
        <v>SR</v>
      </c>
      <c r="L443" s="95" t="str">
        <f t="shared" si="161"/>
        <v>0</v>
      </c>
      <c r="M443" s="95" t="str">
        <f t="shared" si="162"/>
        <v>0</v>
      </c>
      <c r="N443" s="95" t="str">
        <f t="shared" si="163"/>
        <v>0</v>
      </c>
      <c r="O443" s="95" t="str">
        <f t="shared" si="164"/>
        <v>0</v>
      </c>
      <c r="P443" s="95" t="str">
        <f t="shared" si="165"/>
        <v>0</v>
      </c>
      <c r="Q443" s="95">
        <f>IF(AND(G443=T$25,LEN(G443)&gt;1),1,0)</f>
        <v>0</v>
      </c>
      <c r="R443" s="97">
        <f>Doubles!G$25</f>
        <v>24</v>
      </c>
      <c r="S443" s="95">
        <f>IF(AND(H443=H$25,LEN(H443)&gt;1,Q443=1),1,0)</f>
        <v>0</v>
      </c>
      <c r="V443" s="97">
        <f>VLOOKUP(24,R420:S443,2,0)</f>
        <v>0</v>
      </c>
      <c r="W443" s="95">
        <v>24</v>
      </c>
    </row>
    <row r="444" spans="1:29">
      <c r="A444" s="106"/>
      <c r="B444" s="106"/>
      <c r="C444" s="107"/>
      <c r="D444" s="106"/>
      <c r="E444" s="106"/>
      <c r="Q444" s="106"/>
      <c r="R444" s="106"/>
      <c r="S444" s="106"/>
      <c r="W444" s="95">
        <v>25</v>
      </c>
    </row>
    <row r="445" spans="1:29">
      <c r="A445" s="95" t="e">
        <f>IF(LEN(VLOOKUP(B445,Doubles!$A$2:$D$17,4,0))&gt;0,VLOOKUP(B445,Doubles!$A$2:$D$17,4,0),"")</f>
        <v>#N/A</v>
      </c>
      <c r="B445" s="96">
        <f>Doubles!B90</f>
        <v>0</v>
      </c>
      <c r="C445" s="96">
        <v>1</v>
      </c>
      <c r="D445" s="95" t="e">
        <f>VLOOKUP(B445,Doubles!$A$2:$E$17,5,0)</f>
        <v>#N/A</v>
      </c>
      <c r="E445" s="95" t="s">
        <v>124</v>
      </c>
      <c r="J445" s="95" t="s">
        <v>88</v>
      </c>
      <c r="Q445" s="95" t="s">
        <v>121</v>
      </c>
      <c r="S445" s="95" t="s">
        <v>122</v>
      </c>
      <c r="T445" s="95" t="e">
        <f>IF(LEN(A445)&gt;0,"("&amp;A445&amp;") "&amp;B445,B445)</f>
        <v>#N/A</v>
      </c>
      <c r="V445" s="95" t="s">
        <v>122</v>
      </c>
      <c r="W445" s="95" t="str">
        <f>""</f>
        <v/>
      </c>
    </row>
    <row r="446" spans="1:29">
      <c r="A446" s="95">
        <v>1</v>
      </c>
      <c r="B446" s="95">
        <f ca="1">IF(Doubles!B91="",0,Doubles!B91)</f>
        <v>0</v>
      </c>
      <c r="C446" s="99" t="str">
        <f ca="1">IF(OR(LEFT(B446,LEN(B$2))=B$2,LEFT(B446,LEN(C$2))=C$2,LEN(B446)&lt;2),"",IF(B446="no pick","","Wrong pick"))</f>
        <v/>
      </c>
      <c r="D446" s="95">
        <f t="shared" ref="D446:D469" ca="1" si="166">IF(G446=G472,0,1)</f>
        <v>0</v>
      </c>
      <c r="E446" s="95">
        <f t="shared" ref="E446:E469" ca="1" si="167">IF(AND($I$2=J446,B446=0),1,0)</f>
        <v>1</v>
      </c>
      <c r="F446" s="95" t="str">
        <f ca="1">IF(AND(SUM(E446:E469)=$I$4,NOT(B445="Bye")),"Missing picks from "&amp;B445&amp;" ","")</f>
        <v xml:space="preserve">Missing picks from 0 </v>
      </c>
      <c r="G446" s="95" t="str">
        <f ca="1">IF(B446=0,"",IF(B446="no pick","No Pick",IF(LEFT(B446,LEN(B$2))=B$2,B$2,C$2)))</f>
        <v/>
      </c>
      <c r="H446" s="95" t="str">
        <f t="shared" ref="H446:H469" ca="1" si="168">IF(L446="","",IF(K446="PTS",IF(LEN(O446)&lt;8,"2-0","2-1"),LEFT(O446,1)&amp;"-"&amp;RIGHT(O446,1)))</f>
        <v>0-0</v>
      </c>
      <c r="I446" s="95" t="str">
        <f ca="1">IF(AND(J446=$I$2,F$2=0,NOT(E$2="")),IF(OR(AND(Y446=AA446,Z446=AB446),AND(Y446=AB446,Z446=AA446)),"",IF(AND(Y446=Z446,AA446=AB446),Y446&amp;" +2 v. "&amp;AA446&amp;" +2, ",IF(Y446=AA446,Z446&amp;" v. "&amp;AB446&amp;", ",IF(Z446=AB446,Y446&amp;" v. "&amp;AA446&amp;", ",IF(Y446=AB446,Z446&amp;" v. "&amp;AA446&amp;", ",IF(Z446=AA446,Y446&amp;" v. "&amp;AB446&amp;", ",Y446&amp;" v. "&amp;AA446&amp;", "&amp;Z446&amp;" v. "&amp;AB446&amp;", ")))))),"")</f>
        <v/>
      </c>
      <c r="J446" s="97">
        <f>D$2</f>
        <v>1</v>
      </c>
      <c r="K446" s="95" t="str">
        <f t="shared" ref="K446:K469" ca="1" si="169">IF(LEN(L446)&gt;0,IF(LEN(O446)&lt;4,"SR","PTS"),"")</f>
        <v>SR</v>
      </c>
      <c r="L446" s="95" t="str">
        <f t="shared" ref="L446:L469" ca="1" si="170">TRIM(RIGHT(B446,LEN(B446)-LEN(G446)))</f>
        <v>0</v>
      </c>
      <c r="M446" s="95" t="str">
        <f t="shared" ref="M446:M469" ca="1" si="171">SUBSTITUTE(L446,"-","")</f>
        <v>0</v>
      </c>
      <c r="N446" s="95" t="str">
        <f t="shared" ref="N446:N469" ca="1" si="172">SUBSTITUTE(M446,","," ")</f>
        <v>0</v>
      </c>
      <c r="O446" s="95" t="str">
        <f t="shared" ref="O446:O469" ca="1" si="173">IF(AND(LEN(TRIM(SUBSTITUTE(P446,"/","")))&gt;6,OR(LEFT(TRIM(SUBSTITUTE(P446,"/","")),2)="20",LEFT(TRIM(SUBSTITUTE(P446,"/","")),2)="21")),RIGHT(TRIM(SUBSTITUTE(P446,"/","")),LEN(TRIM(SUBSTITUTE(P446,"/","")))-3),TRIM(SUBSTITUTE(P446,"/","")))</f>
        <v>0</v>
      </c>
      <c r="P446" s="95" t="str">
        <f t="shared" ref="P446:P469" ca="1" si="174">SUBSTITUTE(N446,":","")</f>
        <v>0</v>
      </c>
      <c r="Q446" s="95">
        <f ca="1">IF(AND(G446=T$2,LEN(G446)&gt;1),1,0)</f>
        <v>0</v>
      </c>
      <c r="R446" s="97">
        <f>Doubles!G$2</f>
        <v>1</v>
      </c>
      <c r="S446" s="95">
        <f ca="1">IF(AND(H446=H$2,LEN(H446)&gt;1,Q446=1),1,0)</f>
        <v>0</v>
      </c>
      <c r="T446" s="95" t="str">
        <f ca="1">" SR Differences: "&amp;IF(LEN(I446&amp;I447&amp;I448&amp;I449&amp;I450&amp;I451&amp;I452&amp;I453&amp;I454&amp;I455&amp;I456&amp;I457&amp;I458&amp;I459&amp;I460&amp;I461&amp;I462&amp;I463&amp;I464&amp;I465&amp;I466&amp;I467&amp;I468&amp;I469)&lt;3,"None..",I446&amp;I447&amp;I448&amp;I449&amp;I450&amp;I451&amp;I452&amp;I453&amp;I454&amp;I455&amp;I456&amp;I457&amp;I458&amp;I459&amp;I460&amp;I461&amp;I462&amp;I463&amp;I464&amp;I465&amp;I466&amp;I467&amp;I468&amp;I469)</f>
        <v xml:space="preserve"> SR Differences: None..</v>
      </c>
      <c r="V446" s="97">
        <f ca="1">VLOOKUP(1,R446:S469,2,0)</f>
        <v>0</v>
      </c>
      <c r="W446" s="95" t="str">
        <f t="shared" ref="W446:W469" ca="1" si="175">IF(J446=$I$2,IF(OR(G446&amp;G498=G472&amp;G524,G446&amp;G498=G524&amp;G472),"",IF(G446=G498,G446,IF(OR(G446=G472,G446=G524),G498,IF(OR(G498=G472,G498=G524),G446,G446&amp;", "&amp;G498)))),"")</f>
        <v/>
      </c>
      <c r="X446" s="95">
        <f ca="1">IF(F$2=0,IF(AND(G446=G498,NOT(G446=G472),NOT(G446=G524),LEN(W446)&gt;0),2,IF(LEN(W446)=0,0,1)),0)</f>
        <v>0</v>
      </c>
      <c r="Y446" s="95" t="str">
        <f t="shared" ref="Y446:Y469" ca="1" si="176">G446&amp;" "&amp;H446</f>
        <v xml:space="preserve"> 0-0</v>
      </c>
      <c r="Z446" s="95" t="str">
        <f t="shared" ref="Z446:Z469" ca="1" si="177">G498&amp;" "&amp;H498</f>
        <v xml:space="preserve"> 0-0</v>
      </c>
      <c r="AA446" s="95" t="str">
        <f t="shared" ref="AA446:AA469" ca="1" si="178">G472&amp;" "&amp;H472</f>
        <v xml:space="preserve"> 0-0</v>
      </c>
      <c r="AB446" s="95" t="str">
        <f t="shared" ref="AB446:AB469" ca="1" si="179">G524&amp;" "&amp;H524</f>
        <v xml:space="preserve"> 0-0</v>
      </c>
      <c r="AC446" s="95" t="str">
        <f ca="1">IF(AND(LEN(W446)&gt;0,F$2=0),IF(X446=2,W446&amp;" +2, ",W446&amp;", "),"")</f>
        <v/>
      </c>
    </row>
    <row r="447" spans="1:29">
      <c r="A447" s="95">
        <v>2</v>
      </c>
      <c r="B447" s="95">
        <f ca="1">IF(Doubles!B92="",0,Doubles!B92)</f>
        <v>0</v>
      </c>
      <c r="C447" s="99" t="str">
        <f ca="1">IF(OR(LEFT(B447,LEN(B$3))=B$3,LEFT(B447,LEN(C$3))=C$3,LEN(B447)&lt;2),"",IF(B447="no pick","","Wrong pick"))</f>
        <v/>
      </c>
      <c r="D447" s="95">
        <f t="shared" ca="1" si="166"/>
        <v>0</v>
      </c>
      <c r="E447" s="95">
        <f t="shared" ca="1" si="167"/>
        <v>1</v>
      </c>
      <c r="G447" s="95" t="str">
        <f ca="1">IF(B447=0,"",IF(B447="no pick","No Pick",IF(LEFT(B447,LEN(B$3))=B$3,B$3,C$3)))</f>
        <v/>
      </c>
      <c r="H447" s="95" t="str">
        <f t="shared" ca="1" si="168"/>
        <v>0-0</v>
      </c>
      <c r="I447" s="95" t="str">
        <f ca="1">IF(AND(J447=$I$2,F$3=0,NOT(E$3="")),IF(OR(AND(Y447=AA447,Z447=AB447),AND(Y447=AB447,Z447=AA447)),"",IF(AND(Y447=Z447,AA447=AB447),Y447&amp;" +2 v. "&amp;AA447&amp;" +2, ",IF(Y447=AA447,Z447&amp;" v. "&amp;AB447&amp;", ",IF(Z447=AB447,Y447&amp;" v. "&amp;AA447&amp;", ",IF(Y447=AB447,Z447&amp;" v. "&amp;AA447&amp;", ",IF(Z447=AA447,Y447&amp;" v. "&amp;AB447&amp;", ",Y447&amp;" v. "&amp;AA447&amp;", "&amp;Z447&amp;" v. "&amp;AB447&amp;", ")))))),"")</f>
        <v/>
      </c>
      <c r="J447" s="97">
        <f>D$3</f>
        <v>1</v>
      </c>
      <c r="K447" s="95" t="str">
        <f t="shared" ca="1" si="169"/>
        <v>SR</v>
      </c>
      <c r="L447" s="95" t="str">
        <f t="shared" ca="1" si="170"/>
        <v>0</v>
      </c>
      <c r="M447" s="95" t="str">
        <f t="shared" ca="1" si="171"/>
        <v>0</v>
      </c>
      <c r="N447" s="95" t="str">
        <f t="shared" ca="1" si="172"/>
        <v>0</v>
      </c>
      <c r="O447" s="95" t="str">
        <f t="shared" ca="1" si="173"/>
        <v>0</v>
      </c>
      <c r="P447" s="95" t="str">
        <f t="shared" ca="1" si="174"/>
        <v>0</v>
      </c>
      <c r="Q447" s="95">
        <f ca="1">IF(AND(G447=T$3,LEN(G447)&gt;1),1,0)</f>
        <v>0</v>
      </c>
      <c r="R447" s="97">
        <f>Doubles!G$3</f>
        <v>2</v>
      </c>
      <c r="S447" s="95">
        <f ca="1">IF(AND(H447=H$3,LEN(H447)&gt;1,Q447=1),1,0)</f>
        <v>0</v>
      </c>
      <c r="V447" s="97">
        <f ca="1">VLOOKUP(2,R446:S469,2,0)</f>
        <v>0</v>
      </c>
      <c r="W447" s="95" t="str">
        <f t="shared" ca="1" si="175"/>
        <v/>
      </c>
      <c r="X447" s="95">
        <f ca="1">IF(F$3=0,IF(AND(G447=G499,NOT(G447=G473),NOT(G447=G525),LEN(W447)&gt;0),2,IF(LEN(W447)=0,0,1)),0)</f>
        <v>0</v>
      </c>
      <c r="Y447" s="95" t="str">
        <f t="shared" ca="1" si="176"/>
        <v xml:space="preserve"> 0-0</v>
      </c>
      <c r="Z447" s="95" t="str">
        <f t="shared" ca="1" si="177"/>
        <v xml:space="preserve"> 0-0</v>
      </c>
      <c r="AA447" s="95" t="str">
        <f t="shared" ca="1" si="178"/>
        <v xml:space="preserve"> 0-0</v>
      </c>
      <c r="AB447" s="95" t="str">
        <f t="shared" ca="1" si="179"/>
        <v xml:space="preserve"> 0-0</v>
      </c>
      <c r="AC447" s="95" t="str">
        <f ca="1">IF(AND(LEN(W447)&gt;0,F$3=0),IF(X447=2,W447&amp;" +2, ",W447&amp;", "),"")</f>
        <v/>
      </c>
    </row>
    <row r="448" spans="1:29">
      <c r="A448" s="95">
        <v>3</v>
      </c>
      <c r="B448" s="95">
        <f ca="1">IF(Doubles!B93="",0,Doubles!B93)</f>
        <v>0</v>
      </c>
      <c r="C448" s="99" t="str">
        <f ca="1">IF(OR(LEFT(B448,LEN(B$4))=B$4,LEFT(B448,LEN(C$4))=C$4,LEN(B448)&lt;2),"",IF(B448="no pick","","Wrong pick"))</f>
        <v/>
      </c>
      <c r="D448" s="95">
        <f t="shared" ca="1" si="166"/>
        <v>0</v>
      </c>
      <c r="E448" s="95">
        <f t="shared" ca="1" si="167"/>
        <v>1</v>
      </c>
      <c r="G448" s="95" t="str">
        <f ca="1">IF(B448=0,"",IF(B448="no pick","No Pick",IF(LEFT(B448,LEN(B$4))=B$4,B$4,C$4)))</f>
        <v/>
      </c>
      <c r="H448" s="95" t="str">
        <f t="shared" ca="1" si="168"/>
        <v>0-0</v>
      </c>
      <c r="I448" s="95" t="str">
        <f ca="1">IF(AND(J448=$I$2,F$4=0,NOT(E$4="")),IF(OR(AND(Y448=AA448,Z448=AB448),AND(Y448=AB448,Z448=AA448)),"",IF(AND(Y448=Z448,AA448=AB448),Y448&amp;" +2 v. "&amp;AA448&amp;" +2, ",IF(Y448=AA448,Z448&amp;" v. "&amp;AB448&amp;", ",IF(Z448=AB448,Y448&amp;" v. "&amp;AA448&amp;", ",IF(Y448=AB448,Z448&amp;" v. "&amp;AA448&amp;", ",IF(Z448=AA448,Y448&amp;" v. "&amp;AB448&amp;", ",Y448&amp;" v. "&amp;AA448&amp;", "&amp;Z448&amp;" v. "&amp;AB448&amp;", ")))))),"")</f>
        <v/>
      </c>
      <c r="J448" s="97">
        <f>D$4</f>
        <v>1</v>
      </c>
      <c r="K448" s="95" t="str">
        <f t="shared" ca="1" si="169"/>
        <v>SR</v>
      </c>
      <c r="L448" s="95" t="str">
        <f t="shared" ca="1" si="170"/>
        <v>0</v>
      </c>
      <c r="M448" s="95" t="str">
        <f t="shared" ca="1" si="171"/>
        <v>0</v>
      </c>
      <c r="N448" s="95" t="str">
        <f t="shared" ca="1" si="172"/>
        <v>0</v>
      </c>
      <c r="O448" s="95" t="str">
        <f t="shared" ca="1" si="173"/>
        <v>0</v>
      </c>
      <c r="P448" s="95" t="str">
        <f t="shared" ca="1" si="174"/>
        <v>0</v>
      </c>
      <c r="Q448" s="95">
        <f ca="1">IF(AND(G448=T$4,LEN(G448)&gt;1),1,0)</f>
        <v>0</v>
      </c>
      <c r="R448" s="97">
        <f>Doubles!G$4</f>
        <v>3</v>
      </c>
      <c r="S448" s="95">
        <f ca="1">IF(AND(H448=H$4,LEN(H448)&gt;1,Q448=1),1,0)</f>
        <v>0</v>
      </c>
      <c r="T448" s="101">
        <f ca="1">SUMIF(J446:J469,$I$2,X446:X469)</f>
        <v>0</v>
      </c>
      <c r="V448" s="97">
        <f ca="1">VLOOKUP(3,R446:S469,2,0)</f>
        <v>0</v>
      </c>
      <c r="W448" s="95" t="str">
        <f t="shared" ca="1" si="175"/>
        <v/>
      </c>
      <c r="X448" s="95">
        <f ca="1">IF(F$4=0,IF(AND(G448=G500,NOT(G448=G474),NOT(G448=G526),LEN(W448)&gt;0),2,IF(LEN(W448)=0,0,1)),0)</f>
        <v>0</v>
      </c>
      <c r="Y448" s="95" t="str">
        <f t="shared" ca="1" si="176"/>
        <v xml:space="preserve"> 0-0</v>
      </c>
      <c r="Z448" s="95" t="str">
        <f t="shared" ca="1" si="177"/>
        <v xml:space="preserve"> 0-0</v>
      </c>
      <c r="AA448" s="95" t="str">
        <f t="shared" ca="1" si="178"/>
        <v xml:space="preserve"> 0-0</v>
      </c>
      <c r="AB448" s="95" t="str">
        <f t="shared" ca="1" si="179"/>
        <v xml:space="preserve"> 0-0</v>
      </c>
      <c r="AC448" s="95" t="str">
        <f ca="1">IF(AND(LEN(W448)&gt;0,F$4=0),IF(X448=2,W448&amp;" +2, ",W448&amp;", "),"")</f>
        <v/>
      </c>
    </row>
    <row r="449" spans="1:29">
      <c r="A449" s="95">
        <v>4</v>
      </c>
      <c r="B449" s="95">
        <f ca="1">IF(Doubles!B94="",0,Doubles!B94)</f>
        <v>0</v>
      </c>
      <c r="C449" s="99" t="str">
        <f ca="1">IF(OR(LEFT(B449,LEN(B$5))=B$5,LEFT(B449,LEN(C$5))=C$5,LEN(B449)&lt;2),"",IF(B449="no pick","","Wrong pick"))</f>
        <v/>
      </c>
      <c r="D449" s="95">
        <f t="shared" ca="1" si="166"/>
        <v>0</v>
      </c>
      <c r="E449" s="95">
        <f t="shared" ca="1" si="167"/>
        <v>1</v>
      </c>
      <c r="G449" s="95" t="str">
        <f ca="1">IF(B449=0,"",IF(B449="no pick","No Pick",IF(LEFT(B449,LEN(B$5))=B$5,B$5,C$5)))</f>
        <v/>
      </c>
      <c r="H449" s="95" t="str">
        <f t="shared" ca="1" si="168"/>
        <v>0-0</v>
      </c>
      <c r="I449" s="95" t="str">
        <f ca="1">IF(AND(J449=$I$2,F$5=0,NOT(E$5="")),IF(OR(AND(Y449=AA449,Z449=AB449),AND(Y449=AB449,Z449=AA449)),"",IF(AND(Y449=Z449,AA449=AB449),Y449&amp;" +2 v. "&amp;AA449&amp;" +2, ",IF(Y449=AA449,Z449&amp;" v. "&amp;AB449&amp;", ",IF(Z449=AB449,Y449&amp;" v. "&amp;AA449&amp;", ",IF(Y449=AB449,Z449&amp;" v. "&amp;AA449&amp;", ",IF(Z449=AA449,Y449&amp;" v. "&amp;AB449&amp;", ",Y449&amp;" v. "&amp;AA449&amp;", "&amp;Z449&amp;" v. "&amp;AB449&amp;", ")))))),"")</f>
        <v/>
      </c>
      <c r="J449" s="97">
        <f>D$5</f>
        <v>1</v>
      </c>
      <c r="K449" s="95" t="str">
        <f t="shared" ca="1" si="169"/>
        <v>SR</v>
      </c>
      <c r="L449" s="95" t="str">
        <f t="shared" ca="1" si="170"/>
        <v>0</v>
      </c>
      <c r="M449" s="95" t="str">
        <f t="shared" ca="1" si="171"/>
        <v>0</v>
      </c>
      <c r="N449" s="95" t="str">
        <f t="shared" ca="1" si="172"/>
        <v>0</v>
      </c>
      <c r="O449" s="95" t="str">
        <f t="shared" ca="1" si="173"/>
        <v>0</v>
      </c>
      <c r="P449" s="95" t="str">
        <f t="shared" ca="1" si="174"/>
        <v>0</v>
      </c>
      <c r="Q449" s="95">
        <f ca="1">IF(AND(G449=T$5,LEN(G449)&gt;1),1,0)</f>
        <v>0</v>
      </c>
      <c r="R449" s="97">
        <f>Doubles!G$5</f>
        <v>4</v>
      </c>
      <c r="S449" s="95">
        <f ca="1">IF(AND(H449=H$5,LEN(H449)&gt;1,Q449=1),1,0)</f>
        <v>0</v>
      </c>
      <c r="T449" s="95" t="s">
        <v>113</v>
      </c>
      <c r="U449" s="95" t="e">
        <f ca="1">IF(COUNTIF(C446:C547,"=Wrong Pick")&gt;0,"Incorrect pick, probably a spelling mistake",IF(T455&lt;10,"0","")&amp;T455&amp;":"&amp;IF(T456&lt;10,"0","")&amp;T456&amp;" | [b]"&amp;IF(LEN(U450)&gt;0,U450,T445&amp;"/"&amp;T497&amp;IF(LEN(D445)&gt;1," ("&amp;D445&amp;"/"&amp;D497&amp;")","")&amp;"[/b] vs. [b]"&amp;T471&amp;"/"&amp;T523&amp;IF(LEN(D471)&gt;1," ("&amp;D471&amp;"/"&amp;D523&amp;")","")&amp;"[/b]"&amp;IF(Doubles!$D$21&gt;1," (SR "&amp;U455&amp;":"&amp;U456&amp;")","")&amp;" - "&amp;IF(AND(F446="",F472="",F498="",F524=""),IF(LEN(U501)&gt;1,LEFT(U501,LEN(U501)-2)&amp;" vs. "&amp;LEFT(U502,LEN(U502)-2),IF(SUM(F$2:F$25)=0,"Same Winners; ",""))&amp;IF(AND(OR(AND(Doubles!$D$20&gt;1,Doubles!$D$21&lt;Doubles!$D$20),MOD(T448+T455+T456,2)=0),NOT(Doubles!$D$23="No")),LEFT(T446,LEN(T446)-2),""),F446&amp;F472&amp;F498&amp;F524)))</f>
        <v>#N/A</v>
      </c>
      <c r="V449" s="97">
        <f ca="1">VLOOKUP(4,R446:S469,2,0)</f>
        <v>0</v>
      </c>
      <c r="W449" s="95" t="str">
        <f t="shared" ca="1" si="175"/>
        <v/>
      </c>
      <c r="X449" s="95">
        <f ca="1">IF(F$5=0,IF(AND(G449=G501,NOT(G449=G475),NOT(G449=G527),LEN(W449)&gt;0),2,IF(LEN(W449)=0,0,1)),0)</f>
        <v>0</v>
      </c>
      <c r="Y449" s="95" t="str">
        <f t="shared" ca="1" si="176"/>
        <v xml:space="preserve"> 0-0</v>
      </c>
      <c r="Z449" s="95" t="str">
        <f t="shared" ca="1" si="177"/>
        <v xml:space="preserve"> 0-0</v>
      </c>
      <c r="AA449" s="95" t="str">
        <f t="shared" ca="1" si="178"/>
        <v xml:space="preserve"> 0-0</v>
      </c>
      <c r="AB449" s="95" t="str">
        <f t="shared" ca="1" si="179"/>
        <v xml:space="preserve"> 0-0</v>
      </c>
      <c r="AC449" s="95" t="str">
        <f ca="1">IF(AND(LEN(W449)&gt;0,F$5=0),IF(X449=2,W449&amp;" +2, ",W449&amp;", "),"")</f>
        <v/>
      </c>
    </row>
    <row r="450" spans="1:29">
      <c r="A450" s="95">
        <v>5</v>
      </c>
      <c r="B450" s="95">
        <f ca="1">IF(Doubles!B95="",0,Doubles!B95)</f>
        <v>0</v>
      </c>
      <c r="C450" s="99" t="str">
        <f ca="1">IF(OR(LEFT(B450,LEN(B$6))=B$6,LEFT(B450,LEN(C$6))=C$6,LEN(B450)&lt;2),"",IF(B450="no pick","","Wrong pick"))</f>
        <v/>
      </c>
      <c r="D450" s="95">
        <f t="shared" ca="1" si="166"/>
        <v>0</v>
      </c>
      <c r="E450" s="95">
        <f t="shared" ca="1" si="167"/>
        <v>1</v>
      </c>
      <c r="G450" s="95" t="str">
        <f ca="1">IF(B450=0,"",IF(B450="no pick","No Pick",IF(LEFT(B450,LEN(B$6))=B$6,B$6,C$6)))</f>
        <v/>
      </c>
      <c r="H450" s="95" t="str">
        <f t="shared" ca="1" si="168"/>
        <v>0-0</v>
      </c>
      <c r="I450" s="95" t="str">
        <f ca="1">IF(AND(J450=$I$2,F$6=0,NOT(E$6="")),IF(OR(AND(Y450=AA450,Z450=AB450),AND(Y450=AB450,Z450=AA450)),"",IF(AND(Y450=Z450,AA450=AB450),Y450&amp;" +2 v. "&amp;AA450&amp;" +2, ",IF(Y450=AA450,Z450&amp;" v. "&amp;AB450&amp;", ",IF(Z450=AB450,Y450&amp;" v. "&amp;AA450&amp;", ",IF(Y450=AB450,Z450&amp;" v. "&amp;AA450&amp;", ",IF(Z450=AA450,Y450&amp;" v. "&amp;AB450&amp;", ",Y450&amp;" v. "&amp;AA450&amp;", "&amp;Z450&amp;" v. "&amp;AB450&amp;", ")))))),"")</f>
        <v/>
      </c>
      <c r="J450" s="97">
        <f>D$6</f>
        <v>1</v>
      </c>
      <c r="K450" s="95" t="str">
        <f t="shared" ca="1" si="169"/>
        <v>SR</v>
      </c>
      <c r="L450" s="95" t="str">
        <f t="shared" ca="1" si="170"/>
        <v>0</v>
      </c>
      <c r="M450" s="95" t="str">
        <f t="shared" ca="1" si="171"/>
        <v>0</v>
      </c>
      <c r="N450" s="95" t="str">
        <f t="shared" ca="1" si="172"/>
        <v>0</v>
      </c>
      <c r="O450" s="95" t="str">
        <f t="shared" ca="1" si="173"/>
        <v>0</v>
      </c>
      <c r="P450" s="95" t="str">
        <f t="shared" ca="1" si="174"/>
        <v>0</v>
      </c>
      <c r="Q450" s="95">
        <f ca="1">IF(AND(G450=T$6,LEN(G450)&gt;1),1,0)</f>
        <v>0</v>
      </c>
      <c r="R450" s="97">
        <f>Doubles!G$6</f>
        <v>5</v>
      </c>
      <c r="S450" s="95">
        <f ca="1">IF(AND(H450=H$6,LEN(H450)&gt;1,Q450=1),1,0)</f>
        <v>0</v>
      </c>
      <c r="U450" s="95" t="str">
        <f>IF(B445="Bye","Bye[/b] vs. [b][color=blue]"&amp;T471&amp;"/"&amp;T523&amp;IF(LEN(D471)&gt;1," ("&amp;D471&amp;"/"&amp;D523&amp;")","")&amp;"[/color][/b]",IF(B471="Bye","[color=blue]"&amp;T445&amp;"/"&amp;T497&amp;IF(LEN(D445)&gt;1," ("&amp;D445&amp;"/"&amp;D497&amp;")","")&amp;"[/color][/b] vs. [b]Bye[/b]",""))</f>
        <v/>
      </c>
      <c r="V450" s="97">
        <f ca="1">VLOOKUP(5,R446:S469,2,0)</f>
        <v>0</v>
      </c>
      <c r="W450" s="95" t="str">
        <f t="shared" ca="1" si="175"/>
        <v/>
      </c>
      <c r="X450" s="95">
        <f ca="1">IF(F$6=0,IF(AND(G450=G502,NOT(G450=G476),NOT(G450=G528),LEN(W450)&gt;0),2,IF(LEN(W450)=0,0,1)),0)</f>
        <v>0</v>
      </c>
      <c r="Y450" s="95" t="str">
        <f t="shared" ca="1" si="176"/>
        <v xml:space="preserve"> 0-0</v>
      </c>
      <c r="Z450" s="95" t="str">
        <f t="shared" ca="1" si="177"/>
        <v xml:space="preserve"> 0-0</v>
      </c>
      <c r="AA450" s="95" t="str">
        <f t="shared" ca="1" si="178"/>
        <v xml:space="preserve"> 0-0</v>
      </c>
      <c r="AB450" s="95" t="str">
        <f t="shared" ca="1" si="179"/>
        <v xml:space="preserve"> 0-0</v>
      </c>
      <c r="AC450" s="95" t="str">
        <f ca="1">IF(AND(LEN(W450)&gt;0,F$6=0),IF(X450=2,W450&amp;" +2, ",W450&amp;", "),"")</f>
        <v/>
      </c>
    </row>
    <row r="451" spans="1:29">
      <c r="A451" s="95">
        <v>6</v>
      </c>
      <c r="B451" s="95">
        <f ca="1">IF(Doubles!B96="",0,Doubles!B96)</f>
        <v>0</v>
      </c>
      <c r="C451" s="99" t="str">
        <f ca="1">IF(OR(LEFT(B451,LEN(B$7))=B$7,LEFT(B451,LEN(C$7))=C$7,LEN(B451)&lt;2),"",IF(B451="no pick","","Wrong pick"))</f>
        <v/>
      </c>
      <c r="D451" s="95">
        <f t="shared" ca="1" si="166"/>
        <v>0</v>
      </c>
      <c r="E451" s="95">
        <f t="shared" ca="1" si="167"/>
        <v>1</v>
      </c>
      <c r="G451" s="95" t="str">
        <f ca="1">IF(B451=0,"",IF(B451="no pick","No Pick",IF(LEFT(B451,LEN(B$7))=B$7,B$7,C$7)))</f>
        <v/>
      </c>
      <c r="H451" s="95" t="str">
        <f t="shared" ca="1" si="168"/>
        <v>0-0</v>
      </c>
      <c r="I451" s="95" t="str">
        <f ca="1">IF(AND(J451=$I$2,F$7=0,NOT(E$7="")),IF(OR(AND(Y451=AA451,Z451=AB451),AND(Y451=AB451,Z451=AA451)),"",IF(AND(Y451=Z451,AA451=AB451),Y451&amp;" +2 v. "&amp;AA451&amp;" +2, ",IF(Y451=AA451,Z451&amp;" v. "&amp;AB451&amp;", ",IF(Z451=AB451,Y451&amp;" v. "&amp;AA451&amp;", ",IF(Y451=AB451,Z451&amp;" v. "&amp;AA451&amp;", ",IF(Z451=AA451,Y451&amp;" v. "&amp;AB451&amp;", ",Y451&amp;" v. "&amp;AA451&amp;", "&amp;Z451&amp;" v. "&amp;AB451&amp;", ")))))),"")</f>
        <v/>
      </c>
      <c r="J451" s="97">
        <f>D$7</f>
        <v>1</v>
      </c>
      <c r="K451" s="95" t="str">
        <f t="shared" ca="1" si="169"/>
        <v>SR</v>
      </c>
      <c r="L451" s="95" t="str">
        <f t="shared" ca="1" si="170"/>
        <v>0</v>
      </c>
      <c r="M451" s="95" t="str">
        <f t="shared" ca="1" si="171"/>
        <v>0</v>
      </c>
      <c r="N451" s="95" t="str">
        <f t="shared" ca="1" si="172"/>
        <v>0</v>
      </c>
      <c r="O451" s="95" t="str">
        <f t="shared" ca="1" si="173"/>
        <v>0</v>
      </c>
      <c r="P451" s="95" t="str">
        <f t="shared" ca="1" si="174"/>
        <v>0</v>
      </c>
      <c r="Q451" s="95">
        <f ca="1">IF(AND(G451=T$7,LEN(G451)&gt;1),1,0)</f>
        <v>0</v>
      </c>
      <c r="R451" s="97">
        <f>Doubles!G$7</f>
        <v>6</v>
      </c>
      <c r="S451" s="95">
        <f ca="1">IF(AND(H451=H$7,LEN(H451)&gt;1,Q451=1),1,0)</f>
        <v>0</v>
      </c>
      <c r="T451" s="105">
        <f ca="1">SUM(Q446:Q469)</f>
        <v>0</v>
      </c>
      <c r="U451" s="97">
        <f ca="1">SUM(S446:S469)</f>
        <v>0</v>
      </c>
      <c r="V451" s="97">
        <f ca="1">VLOOKUP(6,R446:S469,2,0)</f>
        <v>0</v>
      </c>
      <c r="W451" s="95" t="str">
        <f t="shared" ca="1" si="175"/>
        <v/>
      </c>
      <c r="X451" s="95">
        <f ca="1">IF(F$7=0,IF(AND(G451=G503,NOT(G451=G477),NOT(G451=G529),LEN(W451)&gt;0),2,IF(LEN(W451)=0,0,1)),0)</f>
        <v>0</v>
      </c>
      <c r="Y451" s="95" t="str">
        <f t="shared" ca="1" si="176"/>
        <v xml:space="preserve"> 0-0</v>
      </c>
      <c r="Z451" s="95" t="str">
        <f t="shared" ca="1" si="177"/>
        <v xml:space="preserve"> 0-0</v>
      </c>
      <c r="AA451" s="95" t="str">
        <f t="shared" ca="1" si="178"/>
        <v xml:space="preserve"> 0-0</v>
      </c>
      <c r="AB451" s="95" t="str">
        <f t="shared" ca="1" si="179"/>
        <v xml:space="preserve"> 0-0</v>
      </c>
      <c r="AC451" s="95" t="str">
        <f ca="1">IF(AND(LEN(W451)&gt;0,F$7=0),IF(X451=2,W451&amp;" +2, ",W451&amp;", "),"")</f>
        <v/>
      </c>
    </row>
    <row r="452" spans="1:29">
      <c r="A452" s="95">
        <v>7</v>
      </c>
      <c r="B452" s="95">
        <f ca="1">IF(Doubles!B97="",0,Doubles!B97)</f>
        <v>0</v>
      </c>
      <c r="C452" s="99" t="str">
        <f ca="1">IF(OR(LEFT(B452,LEN(B$8))=B$8,LEFT(B452,LEN(C$8))=C$8,LEN(B452)&lt;2),"",IF(B452="no pick","","Wrong pick"))</f>
        <v/>
      </c>
      <c r="D452" s="95">
        <f t="shared" ca="1" si="166"/>
        <v>0</v>
      </c>
      <c r="E452" s="95">
        <f t="shared" ca="1" si="167"/>
        <v>1</v>
      </c>
      <c r="G452" s="95" t="str">
        <f ca="1">IF(B452=0,"",IF(B452="no pick","No Pick",IF(LEFT(B452,LEN(B$8))=B$8,B$8,C$8)))</f>
        <v/>
      </c>
      <c r="H452" s="95" t="str">
        <f t="shared" ca="1" si="168"/>
        <v>0-0</v>
      </c>
      <c r="I452" s="95" t="str">
        <f ca="1">IF(AND(J452=$I$2,F$8=0,NOT(E$8="")),IF(OR(AND(Y452=AA452,Z452=AB452),AND(Y452=AB452,Z452=AA452)),"",IF(AND(Y452=Z452,AA452=AB452),Y452&amp;" +2 v. "&amp;AA452&amp;" +2, ",IF(Y452=AA452,Z452&amp;" v. "&amp;AB452&amp;", ",IF(Z452=AB452,Y452&amp;" v. "&amp;AA452&amp;", ",IF(Y452=AB452,Z452&amp;" v. "&amp;AA452&amp;", ",IF(Z452=AA452,Y452&amp;" v. "&amp;AB452&amp;", ",Y452&amp;" v. "&amp;AA452&amp;", "&amp;Z452&amp;" v. "&amp;AB452&amp;", ")))))),"")</f>
        <v/>
      </c>
      <c r="J452" s="97">
        <f>D$8</f>
        <v>1</v>
      </c>
      <c r="K452" s="95" t="str">
        <f t="shared" ca="1" si="169"/>
        <v>SR</v>
      </c>
      <c r="L452" s="95" t="str">
        <f t="shared" ca="1" si="170"/>
        <v>0</v>
      </c>
      <c r="M452" s="95" t="str">
        <f t="shared" ca="1" si="171"/>
        <v>0</v>
      </c>
      <c r="N452" s="95" t="str">
        <f t="shared" ca="1" si="172"/>
        <v>0</v>
      </c>
      <c r="O452" s="95" t="str">
        <f t="shared" ca="1" si="173"/>
        <v>0</v>
      </c>
      <c r="P452" s="95" t="str">
        <f t="shared" ca="1" si="174"/>
        <v>0</v>
      </c>
      <c r="Q452" s="95">
        <f ca="1">IF(AND(G452=T$8,LEN(G452)&gt;1),1,0)</f>
        <v>0</v>
      </c>
      <c r="R452" s="97">
        <f>Doubles!G$8</f>
        <v>7</v>
      </c>
      <c r="S452" s="95">
        <f ca="1">IF(AND(H452=H$8,LEN(H452)&gt;1,Q452=1),1,0)</f>
        <v>0</v>
      </c>
      <c r="T452" s="105">
        <f ca="1">SUM(Q472:Q495)</f>
        <v>0</v>
      </c>
      <c r="U452" s="97">
        <f ca="1">SUM(S472:S495)</f>
        <v>0</v>
      </c>
      <c r="V452" s="97">
        <f ca="1">VLOOKUP(7,R446:S469,2,0)</f>
        <v>0</v>
      </c>
      <c r="W452" s="95" t="str">
        <f t="shared" ca="1" si="175"/>
        <v/>
      </c>
      <c r="X452" s="95">
        <f ca="1">IF(F$8=0,IF(AND(G452=G504,NOT(G452=G478),NOT(G452=G530),LEN(W452)&gt;0),2,IF(LEN(W452)=0,0,1)),0)</f>
        <v>0</v>
      </c>
      <c r="Y452" s="95" t="str">
        <f t="shared" ca="1" si="176"/>
        <v xml:space="preserve"> 0-0</v>
      </c>
      <c r="Z452" s="95" t="str">
        <f t="shared" ca="1" si="177"/>
        <v xml:space="preserve"> 0-0</v>
      </c>
      <c r="AA452" s="95" t="str">
        <f t="shared" ca="1" si="178"/>
        <v xml:space="preserve"> 0-0</v>
      </c>
      <c r="AB452" s="95" t="str">
        <f t="shared" ca="1" si="179"/>
        <v xml:space="preserve"> 0-0</v>
      </c>
      <c r="AC452" s="95" t="str">
        <f ca="1">IF(AND(LEN(W452)&gt;0,F$8=0),IF(X452=2,W452&amp;" +2, ",W452&amp;", "),"")</f>
        <v/>
      </c>
    </row>
    <row r="453" spans="1:29">
      <c r="A453" s="95">
        <v>8</v>
      </c>
      <c r="B453" s="95">
        <f ca="1">IF(Doubles!B98="",0,Doubles!B98)</f>
        <v>0</v>
      </c>
      <c r="C453" s="99" t="str">
        <f ca="1">IF(OR(LEFT(B453,LEN(B$9))=B$9,LEFT(B453,LEN(C$9))=C$9,LEN(B453)&lt;2),"",IF(B453="no pick","","Wrong pick"))</f>
        <v/>
      </c>
      <c r="D453" s="95">
        <f t="shared" ca="1" si="166"/>
        <v>0</v>
      </c>
      <c r="E453" s="95">
        <f t="shared" ca="1" si="167"/>
        <v>1</v>
      </c>
      <c r="G453" s="95" t="str">
        <f ca="1">IF(B453=0,"",IF(B453="no pick","No Pick",IF(LEFT(B453,LEN(B$9))=B$9,B$9,C$9)))</f>
        <v/>
      </c>
      <c r="H453" s="95" t="str">
        <f t="shared" ca="1" si="168"/>
        <v>0-0</v>
      </c>
      <c r="I453" s="95" t="str">
        <f ca="1">IF(AND(J453=$I$2,F$9=0,NOT(E$9="")),IF(OR(AND(Y453=AA453,Z453=AB453),AND(Y453=AB453,Z453=AA453)),"",IF(AND(Y453=Z453,AA453=AB453),Y453&amp;" +2 v. "&amp;AA453&amp;" +2, ",IF(Y453=AA453,Z453&amp;" v. "&amp;AB453&amp;", ",IF(Z453=AB453,Y453&amp;" v. "&amp;AA453&amp;", ",IF(Y453=AB453,Z453&amp;" v. "&amp;AA453&amp;", ",IF(Z453=AA453,Y453&amp;" v. "&amp;AB453&amp;", ",Y453&amp;" v. "&amp;AA453&amp;", "&amp;Z453&amp;" v. "&amp;AB453&amp;", ")))))),"")</f>
        <v/>
      </c>
      <c r="J453" s="97">
        <f>D$9</f>
        <v>1</v>
      </c>
      <c r="K453" s="95" t="str">
        <f t="shared" ca="1" si="169"/>
        <v>SR</v>
      </c>
      <c r="L453" s="95" t="str">
        <f t="shared" ca="1" si="170"/>
        <v>0</v>
      </c>
      <c r="M453" s="95" t="str">
        <f t="shared" ca="1" si="171"/>
        <v>0</v>
      </c>
      <c r="N453" s="95" t="str">
        <f t="shared" ca="1" si="172"/>
        <v>0</v>
      </c>
      <c r="O453" s="95" t="str">
        <f t="shared" ca="1" si="173"/>
        <v>0</v>
      </c>
      <c r="P453" s="95" t="str">
        <f t="shared" ca="1" si="174"/>
        <v>0</v>
      </c>
      <c r="Q453" s="95">
        <f ca="1">IF(AND(G453=T$9,LEN(G453)&gt;1),1,0)</f>
        <v>0</v>
      </c>
      <c r="R453" s="97">
        <f>Doubles!G$9</f>
        <v>8</v>
      </c>
      <c r="S453" s="95">
        <f ca="1">IF(AND(H453=H$9,LEN(H453)&gt;1,Q453=1),1,0)</f>
        <v>0</v>
      </c>
      <c r="V453" s="97">
        <f ca="1">VLOOKUP(8,R446:S469,2,0)</f>
        <v>0</v>
      </c>
      <c r="W453" s="95" t="str">
        <f t="shared" ca="1" si="175"/>
        <v/>
      </c>
      <c r="X453" s="95">
        <f ca="1">IF(F$9=0,IF(AND(G453=G505,NOT(G453=G479),NOT(G453=G531),LEN(W453)&gt;0),2,IF(LEN(W453)=0,0,1)),0)</f>
        <v>0</v>
      </c>
      <c r="Y453" s="95" t="str">
        <f t="shared" ca="1" si="176"/>
        <v xml:space="preserve"> 0-0</v>
      </c>
      <c r="Z453" s="95" t="str">
        <f t="shared" ca="1" si="177"/>
        <v xml:space="preserve"> 0-0</v>
      </c>
      <c r="AA453" s="95" t="str">
        <f t="shared" ca="1" si="178"/>
        <v xml:space="preserve"> 0-0</v>
      </c>
      <c r="AB453" s="95" t="str">
        <f t="shared" ca="1" si="179"/>
        <v xml:space="preserve"> 0-0</v>
      </c>
      <c r="AC453" s="95" t="str">
        <f ca="1">IF(AND(LEN(W453)&gt;0,F$9=0),IF(X453=2,W453&amp;" +2, ",W453&amp;", "),"")</f>
        <v/>
      </c>
    </row>
    <row r="454" spans="1:29">
      <c r="A454" s="95">
        <v>9</v>
      </c>
      <c r="B454" s="95">
        <f ca="1">IF(Doubles!B99="",0,Doubles!B99)</f>
        <v>0</v>
      </c>
      <c r="C454" s="99" t="str">
        <f ca="1">IF(OR(LEFT(B454,LEN(B$10))=B$10,LEFT(B454,LEN(C$10))=C$10,LEN(B454)&lt;2),"",IF(B454="no pick","","Wrong pick"))</f>
        <v/>
      </c>
      <c r="D454" s="95">
        <f t="shared" ca="1" si="166"/>
        <v>0</v>
      </c>
      <c r="E454" s="95">
        <f t="shared" ca="1" si="167"/>
        <v>1</v>
      </c>
      <c r="G454" s="95" t="str">
        <f ca="1">IF(B454=0,"",IF(B454="no pick","No Pick",IF(LEFT(B454,LEN(B$10))=B$10,B$10,C$10)))</f>
        <v/>
      </c>
      <c r="H454" s="95" t="str">
        <f t="shared" ca="1" si="168"/>
        <v>0-0</v>
      </c>
      <c r="I454" s="95" t="str">
        <f ca="1">IF(AND(J454=$I$2,F$10=0,NOT(E$10="")),IF(OR(AND(Y454=AA454,Z454=AB454),AND(Y454=AB454,Z454=AA454)),"",IF(AND(Y454=Z454,AA454=AB454),Y454&amp;" +2 v. "&amp;AA454&amp;" +2, ",IF(Y454=AA454,Z454&amp;" v. "&amp;AB454&amp;", ",IF(Z454=AB454,Y454&amp;" v. "&amp;AA454&amp;", ",IF(Y454=AB454,Z454&amp;" v. "&amp;AA454&amp;", ",IF(Z454=AA454,Y454&amp;" v. "&amp;AB454&amp;", ",Y454&amp;" v. "&amp;AA454&amp;", "&amp;Z454&amp;" v. "&amp;AB454&amp;", ")))))),"")</f>
        <v/>
      </c>
      <c r="J454" s="97">
        <f>D$10</f>
        <v>1</v>
      </c>
      <c r="K454" s="95" t="str">
        <f t="shared" ca="1" si="169"/>
        <v>SR</v>
      </c>
      <c r="L454" s="95" t="str">
        <f t="shared" ca="1" si="170"/>
        <v>0</v>
      </c>
      <c r="M454" s="95" t="str">
        <f t="shared" ca="1" si="171"/>
        <v>0</v>
      </c>
      <c r="N454" s="95" t="str">
        <f t="shared" ca="1" si="172"/>
        <v>0</v>
      </c>
      <c r="O454" s="95" t="str">
        <f t="shared" ca="1" si="173"/>
        <v>0</v>
      </c>
      <c r="P454" s="95" t="str">
        <f t="shared" ca="1" si="174"/>
        <v>0</v>
      </c>
      <c r="Q454" s="95">
        <f ca="1">IF(AND(G454=T$10,LEN(G454)&gt;1),1,0)</f>
        <v>0</v>
      </c>
      <c r="R454" s="97">
        <f>Doubles!G$10</f>
        <v>9</v>
      </c>
      <c r="S454" s="95">
        <f ca="1">IF(AND(H454=H$10,LEN(H454)&gt;1,Q454=1),1,0)</f>
        <v>0</v>
      </c>
      <c r="T454" s="95" t="e">
        <f>VLOOKUP("Winner",T472:U496,2,0)</f>
        <v>#N/A</v>
      </c>
      <c r="U454" s="95" t="e">
        <f>VLOOKUP(T454,U472:W496,3,0)</f>
        <v>#N/A</v>
      </c>
      <c r="V454" s="97">
        <f ca="1">VLOOKUP(9,R446:S469,2,0)</f>
        <v>0</v>
      </c>
      <c r="W454" s="95" t="str">
        <f t="shared" ca="1" si="175"/>
        <v/>
      </c>
      <c r="X454" s="95">
        <f ca="1">IF(F$10=0,IF(AND(G454=G506,NOT(G454=G480),NOT(G454=G532),LEN(W454)&gt;0),2,IF(LEN(W454)=0,0,1)),0)</f>
        <v>0</v>
      </c>
      <c r="Y454" s="95" t="str">
        <f t="shared" ca="1" si="176"/>
        <v xml:space="preserve"> 0-0</v>
      </c>
      <c r="Z454" s="95" t="str">
        <f t="shared" ca="1" si="177"/>
        <v xml:space="preserve"> 0-0</v>
      </c>
      <c r="AA454" s="95" t="str">
        <f t="shared" ca="1" si="178"/>
        <v xml:space="preserve"> 0-0</v>
      </c>
      <c r="AB454" s="95" t="str">
        <f t="shared" ca="1" si="179"/>
        <v xml:space="preserve"> 0-0</v>
      </c>
      <c r="AC454" s="95" t="str">
        <f ca="1">IF(AND(LEN(W454)&gt;0,F$10=0),IF(X454=2,W454&amp;" +2, ",W454&amp;", "),"")</f>
        <v/>
      </c>
    </row>
    <row r="455" spans="1:29">
      <c r="A455" s="95">
        <v>10</v>
      </c>
      <c r="B455" s="95">
        <f ca="1">IF(Doubles!B100="",0,Doubles!B100)</f>
        <v>0</v>
      </c>
      <c r="C455" s="99" t="str">
        <f ca="1">IF(OR(LEFT(B455,LEN(B$11))=B$11,LEFT(B455,LEN(C$11))=C$11,LEN(B455)&lt;2),"",IF(B455="no pick","","Wrong pick"))</f>
        <v/>
      </c>
      <c r="D455" s="95">
        <f t="shared" ca="1" si="166"/>
        <v>0</v>
      </c>
      <c r="E455" s="95">
        <f t="shared" ca="1" si="167"/>
        <v>1</v>
      </c>
      <c r="G455" s="95" t="str">
        <f ca="1">IF(B455=0,"",IF(B455="no pick","No Pick",IF(LEFT(B455,LEN(B$11))=B$11,B$11,C$11)))</f>
        <v/>
      </c>
      <c r="H455" s="95" t="str">
        <f t="shared" ca="1" si="168"/>
        <v>0-0</v>
      </c>
      <c r="I455" s="95" t="str">
        <f ca="1">IF(AND(J455=$I$2,F$11=0,NOT(E$11="")),IF(OR(AND(Y455=AA455,Z455=AB455),AND(Y455=AB455,Z455=AA455)),"",IF(AND(Y455=Z455,AA455=AB455),Y455&amp;" +2 v. "&amp;AA455&amp;" +2, ",IF(Y455=AA455,Z455&amp;" v. "&amp;AB455&amp;", ",IF(Z455=AB455,Y455&amp;" v. "&amp;AA455&amp;", ",IF(Y455=AB455,Z455&amp;" v. "&amp;AA455&amp;", ",IF(Z455=AA455,Y455&amp;" v. "&amp;AB455&amp;", ",Y455&amp;" v. "&amp;AA455&amp;", "&amp;Z455&amp;" v. "&amp;AB455&amp;", ")))))),"")</f>
        <v/>
      </c>
      <c r="J455" s="97">
        <f>D$11</f>
        <v>1</v>
      </c>
      <c r="K455" s="95" t="str">
        <f t="shared" ca="1" si="169"/>
        <v>SR</v>
      </c>
      <c r="L455" s="95" t="str">
        <f t="shared" ca="1" si="170"/>
        <v>0</v>
      </c>
      <c r="M455" s="95" t="str">
        <f t="shared" ca="1" si="171"/>
        <v>0</v>
      </c>
      <c r="N455" s="95" t="str">
        <f t="shared" ca="1" si="172"/>
        <v>0</v>
      </c>
      <c r="O455" s="95" t="str">
        <f t="shared" ca="1" si="173"/>
        <v>0</v>
      </c>
      <c r="P455" s="95" t="str">
        <f t="shared" ca="1" si="174"/>
        <v>0</v>
      </c>
      <c r="Q455" s="95">
        <f ca="1">IF(AND(G455=T$11,LEN(G455)&gt;1),1,0)</f>
        <v>0</v>
      </c>
      <c r="R455" s="97">
        <f>Doubles!G$11</f>
        <v>10</v>
      </c>
      <c r="S455" s="95">
        <f ca="1">IF(AND(H455=H$11,LEN(H455)&gt;1,Q455=1),1,0)</f>
        <v>0</v>
      </c>
      <c r="T455" s="97">
        <f ca="1">T451+T503</f>
        <v>0</v>
      </c>
      <c r="U455" s="95">
        <f ca="1">U451+U503</f>
        <v>0</v>
      </c>
      <c r="V455" s="97">
        <f ca="1">VLOOKUP(10,R446:S469,2,0)</f>
        <v>0</v>
      </c>
      <c r="W455" s="95" t="str">
        <f t="shared" ca="1" si="175"/>
        <v/>
      </c>
      <c r="X455" s="95">
        <f ca="1">IF(F$11=0,IF(AND(G455=G507,NOT(G455=G481),NOT(G455=G533),LEN(W455)&gt;0),2,IF(LEN(W455)=0,0,1)),0)</f>
        <v>0</v>
      </c>
      <c r="Y455" s="95" t="str">
        <f t="shared" ca="1" si="176"/>
        <v xml:space="preserve"> 0-0</v>
      </c>
      <c r="Z455" s="95" t="str">
        <f t="shared" ca="1" si="177"/>
        <v xml:space="preserve"> 0-0</v>
      </c>
      <c r="AA455" s="95" t="str">
        <f t="shared" ca="1" si="178"/>
        <v xml:space="preserve"> 0-0</v>
      </c>
      <c r="AB455" s="95" t="str">
        <f t="shared" ca="1" si="179"/>
        <v xml:space="preserve"> 0-0</v>
      </c>
      <c r="AC455" s="95" t="str">
        <f ca="1">IF(AND(LEN(W455)&gt;0,F$11=0),IF(X455=2,W455&amp;" +2, ",W455&amp;", "),"")</f>
        <v/>
      </c>
    </row>
    <row r="456" spans="1:29">
      <c r="A456" s="95">
        <v>11</v>
      </c>
      <c r="B456" s="95">
        <f ca="1">IF(Doubles!B101="",0,Doubles!B101)</f>
        <v>0</v>
      </c>
      <c r="C456" s="99" t="str">
        <f ca="1">IF(OR(LEFT(B456,LEN(B$12))=B$12,LEFT(B456,LEN(C$12))=C$12,LEN(B456)&lt;2),"",IF(B456="no pick","","Wrong pick"))</f>
        <v/>
      </c>
      <c r="D456" s="95">
        <f t="shared" ca="1" si="166"/>
        <v>0</v>
      </c>
      <c r="E456" s="95">
        <f t="shared" ca="1" si="167"/>
        <v>1</v>
      </c>
      <c r="G456" s="95" t="str">
        <f ca="1">IF(B456=0,"",IF(B456="no pick","No Pick",IF(LEFT(B456,LEN(B$12))=B$12,B$12,C$12)))</f>
        <v/>
      </c>
      <c r="H456" s="95" t="str">
        <f t="shared" ca="1" si="168"/>
        <v>0-0</v>
      </c>
      <c r="I456" s="95" t="str">
        <f ca="1">IF(AND(J456=$I$2,F$12=0,NOT(E$12="")),IF(OR(AND(Y456=AA456,Z456=AB456),AND(Y456=AB456,Z456=AA456)),"",IF(AND(Y456=Z456,AA456=AB456),Y456&amp;" +2 v. "&amp;AA456&amp;" +2, ",IF(Y456=AA456,Z456&amp;" v. "&amp;AB456&amp;", ",IF(Z456=AB456,Y456&amp;" v. "&amp;AA456&amp;", ",IF(Y456=AB456,Z456&amp;" v. "&amp;AA456&amp;", ",IF(Z456=AA456,Y456&amp;" v. "&amp;AB456&amp;", ",Y456&amp;" v. "&amp;AA456&amp;", "&amp;Z456&amp;" v. "&amp;AB456&amp;", ")))))),"")</f>
        <v/>
      </c>
      <c r="J456" s="97">
        <f>D$12</f>
        <v>1</v>
      </c>
      <c r="K456" s="95" t="str">
        <f t="shared" ca="1" si="169"/>
        <v>SR</v>
      </c>
      <c r="L456" s="95" t="str">
        <f t="shared" ca="1" si="170"/>
        <v>0</v>
      </c>
      <c r="M456" s="95" t="str">
        <f t="shared" ca="1" si="171"/>
        <v>0</v>
      </c>
      <c r="N456" s="95" t="str">
        <f t="shared" ca="1" si="172"/>
        <v>0</v>
      </c>
      <c r="O456" s="95" t="str">
        <f t="shared" ca="1" si="173"/>
        <v>0</v>
      </c>
      <c r="P456" s="95" t="str">
        <f t="shared" ca="1" si="174"/>
        <v>0</v>
      </c>
      <c r="Q456" s="95">
        <f ca="1">IF(AND(G456=T$12,LEN(G456)&gt;1),1,0)</f>
        <v>0</v>
      </c>
      <c r="R456" s="97">
        <f>Doubles!G$12</f>
        <v>11</v>
      </c>
      <c r="S456" s="95">
        <f ca="1">IF(AND(H456=H$12,LEN(H456)&gt;1,Q456=1),1,0)</f>
        <v>0</v>
      </c>
      <c r="T456" s="97">
        <f ca="1">T452+T504</f>
        <v>0</v>
      </c>
      <c r="U456" s="95">
        <f ca="1">U452+U504</f>
        <v>0</v>
      </c>
      <c r="V456" s="97">
        <f ca="1">VLOOKUP(11,R446:S469,2,0)</f>
        <v>0</v>
      </c>
      <c r="W456" s="95" t="str">
        <f t="shared" ca="1" si="175"/>
        <v/>
      </c>
      <c r="X456" s="95">
        <f ca="1">IF(F$12=0,IF(AND(G456=G508,NOT(G456=G482),NOT(G456=G534),LEN(W456)&gt;0),2,IF(LEN(W456)=0,0,1)),0)</f>
        <v>0</v>
      </c>
      <c r="Y456" s="95" t="str">
        <f t="shared" ca="1" si="176"/>
        <v xml:space="preserve"> 0-0</v>
      </c>
      <c r="Z456" s="95" t="str">
        <f t="shared" ca="1" si="177"/>
        <v xml:space="preserve"> 0-0</v>
      </c>
      <c r="AA456" s="95" t="str">
        <f t="shared" ca="1" si="178"/>
        <v xml:space="preserve"> 0-0</v>
      </c>
      <c r="AB456" s="95" t="str">
        <f t="shared" ca="1" si="179"/>
        <v xml:space="preserve"> 0-0</v>
      </c>
      <c r="AC456" s="95" t="str">
        <f ca="1">IF(AND(LEN(W456)&gt;0,F$12=0),IF(X456=2,W456&amp;" +2, ",W456&amp;", "),"")</f>
        <v/>
      </c>
    </row>
    <row r="457" spans="1:29">
      <c r="A457" s="95">
        <v>12</v>
      </c>
      <c r="B457" s="95">
        <f ca="1">IF(Doubles!B102="",0,Doubles!B102)</f>
        <v>0</v>
      </c>
      <c r="C457" s="99" t="str">
        <f ca="1">IF(OR(LEFT(B457,LEN(B$13))=B$13,LEFT(B457,LEN(C$13))=C$13,LEN(B457)&lt;2),"",IF(B457="no pick","","Wrong pick"))</f>
        <v/>
      </c>
      <c r="D457" s="95">
        <f t="shared" ca="1" si="166"/>
        <v>0</v>
      </c>
      <c r="E457" s="95">
        <f t="shared" ca="1" si="167"/>
        <v>1</v>
      </c>
      <c r="G457" s="95" t="str">
        <f ca="1">IF(B457=0,"",IF(B457="no pick","No Pick",IF(LEFT(B457,LEN(B$13))=B$13,B$13,C$13)))</f>
        <v/>
      </c>
      <c r="H457" s="95" t="str">
        <f t="shared" ca="1" si="168"/>
        <v>0-0</v>
      </c>
      <c r="I457" s="95" t="str">
        <f ca="1">IF(AND(J457=$I$2,F$13=0,NOT(E$13="")),IF(OR(AND(Y457=AA457,Z457=AB457),AND(Y457=AB457,Z457=AA457)),"",IF(AND(Y457=Z457,AA457=AB457),Y457&amp;" +2 v. "&amp;AA457&amp;" +2, ",IF(Y457=AA457,Z457&amp;" v. "&amp;AB457&amp;", ",IF(Z457=AB457,Y457&amp;" v. "&amp;AA457&amp;", ",IF(Y457=AB457,Z457&amp;" v. "&amp;AA457&amp;", ",IF(Z457=AA457,Y457&amp;" v. "&amp;AB457&amp;", ",Y457&amp;" v. "&amp;AA457&amp;", "&amp;Z457&amp;" v. "&amp;AB457&amp;", ")))))),"")</f>
        <v/>
      </c>
      <c r="J457" s="97">
        <f>D$13</f>
        <v>1</v>
      </c>
      <c r="K457" s="95" t="str">
        <f t="shared" ca="1" si="169"/>
        <v>SR</v>
      </c>
      <c r="L457" s="95" t="str">
        <f t="shared" ca="1" si="170"/>
        <v>0</v>
      </c>
      <c r="M457" s="95" t="str">
        <f t="shared" ca="1" si="171"/>
        <v>0</v>
      </c>
      <c r="N457" s="95" t="str">
        <f t="shared" ca="1" si="172"/>
        <v>0</v>
      </c>
      <c r="O457" s="95" t="str">
        <f t="shared" ca="1" si="173"/>
        <v>0</v>
      </c>
      <c r="P457" s="95" t="str">
        <f t="shared" ca="1" si="174"/>
        <v>0</v>
      </c>
      <c r="Q457" s="95">
        <f ca="1">IF(AND(G457=T$13,LEN(G457)&gt;1),1,0)</f>
        <v>0</v>
      </c>
      <c r="R457" s="97">
        <f>Doubles!G$13</f>
        <v>12</v>
      </c>
      <c r="S457" s="95">
        <f ca="1">IF(AND(H457=H$13,LEN(H457)&gt;1,Q457=1),1,0)</f>
        <v>0</v>
      </c>
      <c r="V457" s="97">
        <f ca="1">VLOOKUP(12,R446:S469,2,0)</f>
        <v>0</v>
      </c>
      <c r="W457" s="95" t="str">
        <f t="shared" ca="1" si="175"/>
        <v/>
      </c>
      <c r="X457" s="95">
        <f ca="1">IF(F$13=0,IF(AND(G457=G509,NOT(G457=G483),NOT(G457=G535),LEN(W457)&gt;0),2,IF(LEN(W457)=0,0,1)),0)</f>
        <v>0</v>
      </c>
      <c r="Y457" s="95" t="str">
        <f t="shared" ca="1" si="176"/>
        <v xml:space="preserve"> 0-0</v>
      </c>
      <c r="Z457" s="95" t="str">
        <f t="shared" ca="1" si="177"/>
        <v xml:space="preserve"> 0-0</v>
      </c>
      <c r="AA457" s="95" t="str">
        <f t="shared" ca="1" si="178"/>
        <v xml:space="preserve"> 0-0</v>
      </c>
      <c r="AB457" s="95" t="str">
        <f t="shared" ca="1" si="179"/>
        <v xml:space="preserve"> 0-0</v>
      </c>
      <c r="AC457" s="95" t="str">
        <f ca="1">IF(AND(LEN(W457)&gt;0,F$13=0),IF(X457=2,W457&amp;" +2, ",W457&amp;", "),"")</f>
        <v/>
      </c>
    </row>
    <row r="458" spans="1:29">
      <c r="A458" s="95">
        <v>13</v>
      </c>
      <c r="B458" s="95">
        <f ca="1">IF(Doubles!B103="",0,Doubles!B103)</f>
        <v>0</v>
      </c>
      <c r="C458" s="99" t="str">
        <f ca="1">IF(OR(LEFT(B458,LEN(B$14))=B$14,LEFT(B458,LEN(C$14))=C$14,LEN(B458)&lt;2),"",IF(B458="no pick","","Wrong pick"))</f>
        <v/>
      </c>
      <c r="D458" s="95">
        <f t="shared" ca="1" si="166"/>
        <v>0</v>
      </c>
      <c r="E458" s="95">
        <f t="shared" ca="1" si="167"/>
        <v>1</v>
      </c>
      <c r="G458" s="95" t="str">
        <f ca="1">IF(B458=0,"",IF(B458="no pick","No Pick",IF(LEFT(B458,LEN(B$14))=B$14,B$14,C$14)))</f>
        <v/>
      </c>
      <c r="H458" s="95" t="str">
        <f t="shared" ca="1" si="168"/>
        <v>0-0</v>
      </c>
      <c r="I458" s="95" t="str">
        <f ca="1">IF(AND(J458=$I$2,F$14=0,NOT(E$14="")),IF(OR(AND(Y458=AA458,Z458=AB458),AND(Y458=AB458,Z458=AA458)),"",IF(AND(Y458=Z458,AA458=AB458),Y458&amp;" +2 v. "&amp;AA458&amp;" +2, ",IF(Y458=AA458,Z458&amp;" v. "&amp;AB458&amp;", ",IF(Z458=AB458,Y458&amp;" v. "&amp;AA458&amp;", ",IF(Y458=AB458,Z458&amp;" v. "&amp;AA458&amp;", ",IF(Z458=AA458,Y458&amp;" v. "&amp;AB458&amp;", ",Y458&amp;" v. "&amp;AA458&amp;", "&amp;Z458&amp;" v. "&amp;AB458&amp;", ")))))),"")</f>
        <v/>
      </c>
      <c r="J458" s="97">
        <f>D$14</f>
        <v>1</v>
      </c>
      <c r="K458" s="95" t="str">
        <f t="shared" ca="1" si="169"/>
        <v>SR</v>
      </c>
      <c r="L458" s="95" t="str">
        <f t="shared" ca="1" si="170"/>
        <v>0</v>
      </c>
      <c r="M458" s="95" t="str">
        <f t="shared" ca="1" si="171"/>
        <v>0</v>
      </c>
      <c r="N458" s="95" t="str">
        <f t="shared" ca="1" si="172"/>
        <v>0</v>
      </c>
      <c r="O458" s="95" t="str">
        <f t="shared" ca="1" si="173"/>
        <v>0</v>
      </c>
      <c r="P458" s="95" t="str">
        <f t="shared" ca="1" si="174"/>
        <v>0</v>
      </c>
      <c r="Q458" s="95">
        <f ca="1">IF(AND(G458=T$14,LEN(G458)&gt;1),1,0)</f>
        <v>0</v>
      </c>
      <c r="R458" s="97">
        <f>Doubles!G$14</f>
        <v>13</v>
      </c>
      <c r="S458" s="95">
        <f ca="1">IF(AND(H458=H$14,LEN(H458)&gt;1,Q458=1),1,0)</f>
        <v>0</v>
      </c>
      <c r="V458" s="97">
        <f ca="1">VLOOKUP(13,R446:S469,2,0)</f>
        <v>0</v>
      </c>
      <c r="W458" s="95" t="str">
        <f t="shared" ca="1" si="175"/>
        <v/>
      </c>
      <c r="X458" s="95">
        <f ca="1">IF(F$14=0,IF(AND(G458=G510,NOT(G458=G484),NOT(G458=G536),LEN(W458)&gt;0),2,IF(LEN(W458)=0,0,1)),0)</f>
        <v>0</v>
      </c>
      <c r="Y458" s="95" t="str">
        <f t="shared" ca="1" si="176"/>
        <v xml:space="preserve"> 0-0</v>
      </c>
      <c r="Z458" s="95" t="str">
        <f t="shared" ca="1" si="177"/>
        <v xml:space="preserve"> 0-0</v>
      </c>
      <c r="AA458" s="95" t="str">
        <f t="shared" ca="1" si="178"/>
        <v xml:space="preserve"> 0-0</v>
      </c>
      <c r="AB458" s="95" t="str">
        <f t="shared" ca="1" si="179"/>
        <v xml:space="preserve"> 0-0</v>
      </c>
      <c r="AC458" s="95" t="str">
        <f ca="1">IF(AND(LEN(W458)&gt;0,F$14=0),IF(X458=2,W458&amp;" +2, ",W458&amp;", "),"")</f>
        <v/>
      </c>
    </row>
    <row r="459" spans="1:29">
      <c r="A459" s="95">
        <v>14</v>
      </c>
      <c r="B459" s="95">
        <f ca="1">IF(Doubles!B104="",0,Doubles!B104)</f>
        <v>0</v>
      </c>
      <c r="C459" s="99" t="str">
        <f ca="1">IF(OR(LEFT(B459,LEN(B$15))=B$15,LEFT(B459,LEN(C$15))=C$15,LEN(B459)&lt;2),"",IF(B459="no pick","","Wrong pick"))</f>
        <v/>
      </c>
      <c r="D459" s="95">
        <f t="shared" ca="1" si="166"/>
        <v>0</v>
      </c>
      <c r="E459" s="95">
        <f t="shared" ca="1" si="167"/>
        <v>1</v>
      </c>
      <c r="G459" s="95" t="str">
        <f ca="1">IF(B459=0,"",IF(B459="no pick","No Pick",IF(LEFT(B459,LEN(B$15))=B$15,B$15,C$15)))</f>
        <v/>
      </c>
      <c r="H459" s="95" t="str">
        <f t="shared" ca="1" si="168"/>
        <v>0-0</v>
      </c>
      <c r="I459" s="95" t="str">
        <f ca="1">IF(AND(J459=$I$2,F$15=0,NOT(E$15="")),IF(OR(AND(Y459=AA459,Z459=AB459),AND(Y459=AB459,Z459=AA459)),"",IF(AND(Y459=Z459,AA459=AB459),Y459&amp;" +2 v. "&amp;AA459&amp;" +2, ",IF(Y459=AA459,Z459&amp;" v. "&amp;AB459&amp;", ",IF(Z459=AB459,Y459&amp;" v. "&amp;AA459&amp;", ",IF(Y459=AB459,Z459&amp;" v. "&amp;AA459&amp;", ",IF(Z459=AA459,Y459&amp;" v. "&amp;AB459&amp;", ",Y459&amp;" v. "&amp;AA459&amp;", "&amp;Z459&amp;" v. "&amp;AB459&amp;", ")))))),"")</f>
        <v/>
      </c>
      <c r="J459" s="97">
        <f>D$15</f>
        <v>1</v>
      </c>
      <c r="K459" s="95" t="str">
        <f t="shared" ca="1" si="169"/>
        <v>SR</v>
      </c>
      <c r="L459" s="95" t="str">
        <f t="shared" ca="1" si="170"/>
        <v>0</v>
      </c>
      <c r="M459" s="95" t="str">
        <f t="shared" ca="1" si="171"/>
        <v>0</v>
      </c>
      <c r="N459" s="95" t="str">
        <f t="shared" ca="1" si="172"/>
        <v>0</v>
      </c>
      <c r="O459" s="95" t="str">
        <f t="shared" ca="1" si="173"/>
        <v>0</v>
      </c>
      <c r="P459" s="95" t="str">
        <f t="shared" ca="1" si="174"/>
        <v>0</v>
      </c>
      <c r="Q459" s="95">
        <f ca="1">IF(AND(G459=T$15,LEN(G459)&gt;1),1,0)</f>
        <v>0</v>
      </c>
      <c r="R459" s="97">
        <f>Doubles!G$15</f>
        <v>14</v>
      </c>
      <c r="S459" s="95">
        <f ca="1">IF(AND(H459=H$15,LEN(H459)&gt;1,Q459=1),1,0)</f>
        <v>0</v>
      </c>
      <c r="T459" s="95" t="s">
        <v>127</v>
      </c>
      <c r="U459" s="95" t="str">
        <f>IF(Doubles!$D$22=$F$26,IF(T455&gt;T456,B445&amp;"/"&amp;B497,IF(T455&lt;T456,B471&amp;"/"&amp;B523,IF(U455&gt;U456,B445&amp;"/"&amp;B497,IF(U455&lt;U456,B471&amp;"/"&amp;B523,"Tied, see shootout")))),"No decision yet")</f>
        <v>No decision yet</v>
      </c>
      <c r="V459" s="97">
        <f ca="1">VLOOKUP(14,R446:S469,2,0)</f>
        <v>0</v>
      </c>
      <c r="W459" s="95" t="str">
        <f t="shared" ca="1" si="175"/>
        <v/>
      </c>
      <c r="X459" s="95">
        <f ca="1">IF(F$15=0,IF(AND(G459=G511,NOT(G459=G485),NOT(G459=G537),LEN(W459)&gt;0),2,IF(LEN(W459)=0,0,1)),0)</f>
        <v>0</v>
      </c>
      <c r="Y459" s="95" t="str">
        <f t="shared" ca="1" si="176"/>
        <v xml:space="preserve"> 0-0</v>
      </c>
      <c r="Z459" s="95" t="str">
        <f t="shared" ca="1" si="177"/>
        <v xml:space="preserve"> 0-0</v>
      </c>
      <c r="AA459" s="95" t="str">
        <f t="shared" ca="1" si="178"/>
        <v xml:space="preserve"> 0-0</v>
      </c>
      <c r="AB459" s="95" t="str">
        <f t="shared" ca="1" si="179"/>
        <v xml:space="preserve"> 0-0</v>
      </c>
      <c r="AC459" s="95" t="str">
        <f ca="1">IF(AND(LEN(W459)&gt;0,F$15=0),IF(X459=2,W459&amp;" +2, ",W459&amp;", "),"")</f>
        <v/>
      </c>
    </row>
    <row r="460" spans="1:29">
      <c r="A460" s="95">
        <v>15</v>
      </c>
      <c r="B460" s="95">
        <f ca="1">IF(Doubles!B105="",0,Doubles!B105)</f>
        <v>0</v>
      </c>
      <c r="C460" s="99" t="str">
        <f ca="1">IF(OR(LEFT(B460,LEN(B$16))=B$16,LEFT(B460,LEN(C$16))=C$16,LEN(B460)&lt;2),"",IF(B460="no pick","","Wrong pick"))</f>
        <v/>
      </c>
      <c r="D460" s="95">
        <f t="shared" ca="1" si="166"/>
        <v>0</v>
      </c>
      <c r="E460" s="95">
        <f t="shared" ca="1" si="167"/>
        <v>1</v>
      </c>
      <c r="G460" s="95" t="str">
        <f ca="1">IF(B460=0,"",IF(B460="no pick","No Pick",IF(LEFT(B460,LEN(B$16))=B$16,B$16,C$16)))</f>
        <v/>
      </c>
      <c r="H460" s="95" t="str">
        <f t="shared" ca="1" si="168"/>
        <v>0-0</v>
      </c>
      <c r="I460" s="95" t="str">
        <f ca="1">IF(AND(J460=$I$2,F$16=0,NOT(E$16="")),IF(OR(AND(Y460=AA460,Z460=AB460),AND(Y460=AB460,Z460=AA460)),"",IF(AND(Y460=Z460,AA460=AB460),Y460&amp;" +2 v. "&amp;AA460&amp;" +2, ",IF(Y460=AA460,Z460&amp;" v. "&amp;AB460&amp;", ",IF(Z460=AB460,Y460&amp;" v. "&amp;AA460&amp;", ",IF(Y460=AB460,Z460&amp;" v. "&amp;AA460&amp;", ",IF(Z460=AA460,Y460&amp;" v. "&amp;AB460&amp;", ",Y460&amp;" v. "&amp;AA460&amp;", "&amp;Z460&amp;" v. "&amp;AB460&amp;", ")))))),"")</f>
        <v/>
      </c>
      <c r="J460" s="97">
        <f>D$16</f>
        <v>1</v>
      </c>
      <c r="K460" s="95" t="str">
        <f t="shared" ca="1" si="169"/>
        <v>SR</v>
      </c>
      <c r="L460" s="95" t="str">
        <f t="shared" ca="1" si="170"/>
        <v>0</v>
      </c>
      <c r="M460" s="95" t="str">
        <f t="shared" ca="1" si="171"/>
        <v>0</v>
      </c>
      <c r="N460" s="95" t="str">
        <f t="shared" ca="1" si="172"/>
        <v>0</v>
      </c>
      <c r="O460" s="95" t="str">
        <f t="shared" ca="1" si="173"/>
        <v>0</v>
      </c>
      <c r="P460" s="95" t="str">
        <f t="shared" ca="1" si="174"/>
        <v>0</v>
      </c>
      <c r="Q460" s="95">
        <f ca="1">IF(AND(G460=T$16,LEN(G460)&gt;1),1,0)</f>
        <v>0</v>
      </c>
      <c r="R460" s="97">
        <f>Doubles!G$16</f>
        <v>15</v>
      </c>
      <c r="S460" s="95">
        <f ca="1">IF(AND(H460=H$16,LEN(H460)&gt;1,Q460=1),1,0)</f>
        <v>0</v>
      </c>
      <c r="T460" s="95" t="s">
        <v>128</v>
      </c>
      <c r="U460" s="95" t="e">
        <f ca="1">IF(T455&lt;10,"0","")&amp;T455&amp;":"&amp;IF(T456&lt;10,"0","")&amp;T456&amp;" | "&amp;IF(AND(A445&gt;0,A445&lt;33,B445&amp;"/"&amp;B497=U459),"[b][color=Blue]"&amp;T445&amp;"/"&amp;T497&amp;" ("&amp;D445&amp;"/"&amp;D497&amp;")[/color][/b]",IF(B445&amp;"/"&amp;B497=U459,"[color=Blue]"&amp;T445&amp;"/"&amp;T497&amp;" ("&amp;D445&amp;"/"&amp;D497&amp;")[/color]",IF(AND(A445&gt;0,A445&lt;33),"[b]"&amp;T445&amp;"/"&amp;T497&amp;" ("&amp;D445&amp;"/"&amp;D497&amp;")[/b]",T445&amp;"/"&amp;T497&amp;IF(LEN(D445)&gt;1," ("&amp;D445&amp;"/"&amp;D497&amp;")",""))))&amp;" vs. "&amp;IF(AND(A471&gt;0,A471&lt;33,B471&amp;"/"&amp;B523=U459),"[b][color=Blue]"&amp;T471&amp;"/"&amp;T523&amp;" ("&amp;D471&amp;"/"&amp;D523&amp;")[/color][/b]",IF(B471&amp;"/"&amp;B523=U459,"[color=Blue]"&amp;T471&amp;"/"&amp;T523&amp;" ("&amp;D471&amp;"/"&amp;D523&amp;")[/color]",IF(AND(A471&gt;0,A471&lt;33),"[b]"&amp;T471&amp;"/"&amp;T523&amp;" ("&amp;D471&amp;"/"&amp;D523&amp;")[/b]",T471&amp;"/"&amp;T523&amp;IF(LEN(D471)&gt;1," ("&amp;D471&amp;"/"&amp;D523&amp;")",""))))&amp;IF(OR(Doubles!$D$25="yes",T455=T456)," #SRs: "&amp;U455&amp;"-"&amp;U456,"")</f>
        <v>#N/A</v>
      </c>
      <c r="V460" s="97">
        <f ca="1">VLOOKUP(15,R446:S469,2,0)</f>
        <v>0</v>
      </c>
      <c r="W460" s="95" t="str">
        <f t="shared" ca="1" si="175"/>
        <v/>
      </c>
      <c r="X460" s="95">
        <f ca="1">IF(F$16=0,IF(AND(G460=G512,NOT(G460=G486),NOT(G460=G538),LEN(W460)&gt;0),2,IF(LEN(W460)=0,0,1)),0)</f>
        <v>0</v>
      </c>
      <c r="Y460" s="95" t="str">
        <f t="shared" ca="1" si="176"/>
        <v xml:space="preserve"> 0-0</v>
      </c>
      <c r="Z460" s="95" t="str">
        <f t="shared" ca="1" si="177"/>
        <v xml:space="preserve"> 0-0</v>
      </c>
      <c r="AA460" s="95" t="str">
        <f t="shared" ca="1" si="178"/>
        <v xml:space="preserve"> 0-0</v>
      </c>
      <c r="AB460" s="95" t="str">
        <f t="shared" ca="1" si="179"/>
        <v xml:space="preserve"> 0-0</v>
      </c>
      <c r="AC460" s="95" t="str">
        <f ca="1">IF(AND(LEN(W460)&gt;0,F$16=0),IF(X460=2,W460&amp;" +2, ",W460&amp;", "),"")</f>
        <v/>
      </c>
    </row>
    <row r="461" spans="1:29">
      <c r="A461" s="95">
        <v>16</v>
      </c>
      <c r="B461" s="95">
        <f ca="1">IF(Doubles!B106="",0,Doubles!B106)</f>
        <v>0</v>
      </c>
      <c r="C461" s="99" t="str">
        <f ca="1">IF(OR(LEFT(B461,LEN(B$17))=B$17,LEFT(B461,LEN(C$17))=C$17,LEN(B461)&lt;2),"",IF(B461="no pick","","Wrong pick"))</f>
        <v/>
      </c>
      <c r="D461" s="95">
        <f t="shared" ca="1" si="166"/>
        <v>0</v>
      </c>
      <c r="E461" s="95">
        <f t="shared" ca="1" si="167"/>
        <v>1</v>
      </c>
      <c r="G461" s="95" t="str">
        <f ca="1">IF(B461=0,"",IF(B461="no pick","No Pick",IF(LEFT(B461,LEN(B$17))=B$17,B$17,C$17)))</f>
        <v/>
      </c>
      <c r="H461" s="95" t="str">
        <f t="shared" ca="1" si="168"/>
        <v>0-0</v>
      </c>
      <c r="I461" s="95" t="str">
        <f ca="1">IF(AND(J461=$I$2,F$17=0,NOT(E$17="")),IF(OR(AND(Y461=AA461,Z461=AB461),AND(Y461=AB461,Z461=AA461)),"",IF(AND(Y461=Z461,AA461=AB461),Y461&amp;" +2 v. "&amp;AA461&amp;" +2, ",IF(Y461=AA461,Z461&amp;" v. "&amp;AB461&amp;", ",IF(Z461=AB461,Y461&amp;" v. "&amp;AA461&amp;", ",IF(Y461=AB461,Z461&amp;" v. "&amp;AA461&amp;", ",IF(Z461=AA461,Y461&amp;" v. "&amp;AB461&amp;", ",Y461&amp;" v. "&amp;AA461&amp;", "&amp;Z461&amp;" v. "&amp;AB461&amp;", ")))))),"")</f>
        <v/>
      </c>
      <c r="J461" s="97">
        <f>D$17</f>
        <v>1</v>
      </c>
      <c r="K461" s="95" t="str">
        <f t="shared" ca="1" si="169"/>
        <v>SR</v>
      </c>
      <c r="L461" s="95" t="str">
        <f t="shared" ca="1" si="170"/>
        <v>0</v>
      </c>
      <c r="M461" s="95" t="str">
        <f t="shared" ca="1" si="171"/>
        <v>0</v>
      </c>
      <c r="N461" s="95" t="str">
        <f t="shared" ca="1" si="172"/>
        <v>0</v>
      </c>
      <c r="O461" s="95" t="str">
        <f t="shared" ca="1" si="173"/>
        <v>0</v>
      </c>
      <c r="P461" s="95" t="str">
        <f t="shared" ca="1" si="174"/>
        <v>0</v>
      </c>
      <c r="Q461" s="95">
        <f ca="1">IF(AND(G461=T$17,LEN(G461)&gt;1),1,0)</f>
        <v>0</v>
      </c>
      <c r="R461" s="97">
        <f>Doubles!G$17</f>
        <v>16</v>
      </c>
      <c r="S461" s="95">
        <f ca="1">IF(AND(H461=H$17,LEN(H461)&gt;1,Q461=1),1,0)</f>
        <v>0</v>
      </c>
      <c r="V461" s="97">
        <f ca="1">VLOOKUP(16,R446:S469,2,0)</f>
        <v>0</v>
      </c>
      <c r="W461" s="95" t="str">
        <f t="shared" ca="1" si="175"/>
        <v/>
      </c>
      <c r="X461" s="95">
        <f ca="1">IF(F$17=0,IF(AND(G461=G513,NOT(G461=G487),NOT(G461=G539),LEN(W461)&gt;0),2,IF(LEN(W461)=0,0,1)),0)</f>
        <v>0</v>
      </c>
      <c r="Y461" s="95" t="str">
        <f t="shared" ca="1" si="176"/>
        <v xml:space="preserve"> 0-0</v>
      </c>
      <c r="Z461" s="95" t="str">
        <f t="shared" ca="1" si="177"/>
        <v xml:space="preserve"> 0-0</v>
      </c>
      <c r="AA461" s="95" t="str">
        <f t="shared" ca="1" si="178"/>
        <v xml:space="preserve"> 0-0</v>
      </c>
      <c r="AB461" s="95" t="str">
        <f t="shared" ca="1" si="179"/>
        <v xml:space="preserve"> 0-0</v>
      </c>
      <c r="AC461" s="95" t="str">
        <f ca="1">IF(AND(LEN(W461)&gt;0,F$17=0),IF(X461=2,W461&amp;" +2, ",W461&amp;", "),"")</f>
        <v/>
      </c>
    </row>
    <row r="462" spans="1:29">
      <c r="A462" s="95">
        <v>17</v>
      </c>
      <c r="B462" s="95">
        <f>IF(Doubles!B107="",0,Doubles!B107)</f>
        <v>0</v>
      </c>
      <c r="C462" s="99" t="str">
        <f>IF(OR(LEFT(B462,LEN(B$18))=B$18,LEFT(B462,LEN(C$18))=C$18,LEN(B462)&lt;2),"",IF(B462="no pick","","Wrong pick"))</f>
        <v/>
      </c>
      <c r="D462" s="95">
        <f t="shared" si="166"/>
        <v>0</v>
      </c>
      <c r="E462" s="95">
        <f t="shared" si="167"/>
        <v>0</v>
      </c>
      <c r="G462" s="95" t="str">
        <f>IF(B462=0,"",IF(B462="no pick","No Pick",IF(LEFT(B462,LEN(B$18))=B$18,B$18,C$18)))</f>
        <v/>
      </c>
      <c r="H462" s="95" t="str">
        <f t="shared" si="168"/>
        <v>0-0</v>
      </c>
      <c r="I462" s="95" t="str">
        <f>IF(AND(J462=$I$2,F$18=0,NOT(E$18="")),IF(OR(AND(Y462=AA462,Z462=AB462),AND(Y462=AB462,Z462=AA462)),"",IF(AND(Y462=Z462,AA462=AB462),Y462&amp;" +2 v. "&amp;AA462&amp;" +2, ",IF(Y462=AA462,Z462&amp;" v. "&amp;AB462&amp;", ",IF(Z462=AB462,Y462&amp;" v. "&amp;AA462&amp;", ",IF(Y462=AB462,Z462&amp;" v. "&amp;AA462&amp;", ",IF(Z462=AA462,Y462&amp;" v. "&amp;AB462&amp;", ",Y462&amp;" v. "&amp;AA462&amp;", "&amp;Z462&amp;" v. "&amp;AB462&amp;", ")))))),"")</f>
        <v/>
      </c>
      <c r="J462" s="95">
        <f>D$18</f>
        <v>0</v>
      </c>
      <c r="K462" s="95" t="str">
        <f t="shared" si="169"/>
        <v>SR</v>
      </c>
      <c r="L462" s="95" t="str">
        <f t="shared" si="170"/>
        <v>0</v>
      </c>
      <c r="M462" s="95" t="str">
        <f t="shared" si="171"/>
        <v>0</v>
      </c>
      <c r="N462" s="95" t="str">
        <f t="shared" si="172"/>
        <v>0</v>
      </c>
      <c r="O462" s="95" t="str">
        <f t="shared" si="173"/>
        <v>0</v>
      </c>
      <c r="P462" s="95" t="str">
        <f t="shared" si="174"/>
        <v>0</v>
      </c>
      <c r="Q462" s="95">
        <f>IF(AND(G462=T$18,LEN(G462)&gt;1),1,0)</f>
        <v>0</v>
      </c>
      <c r="R462" s="97">
        <f>Doubles!G$18</f>
        <v>17</v>
      </c>
      <c r="S462" s="95">
        <f>IF(AND(H462=H$18,LEN(H462)&gt;1,Q462=1),1,0)</f>
        <v>0</v>
      </c>
      <c r="T462" s="95" t="str">
        <f>IF(Doubles!$D$22=$F$26,IF(T455&gt;T456,B445,IF(T455&lt;T456,B471,IF(U455&gt;U456,B445,IF(U455&lt;U456,B471,"")))),"")</f>
        <v/>
      </c>
      <c r="U462" s="95" t="str">
        <f>IF(Doubles!$D$22=$F$26,IF(T455&gt;T456,B497,IF(T455&lt;T456,B523,IF(U455&gt;U456,B497,IF(U455&lt;U456,B523,"")))),"")</f>
        <v/>
      </c>
      <c r="V462" s="95">
        <f>VLOOKUP(17,R446:S469,2,0)</f>
        <v>0</v>
      </c>
      <c r="W462" s="95" t="str">
        <f t="shared" si="175"/>
        <v/>
      </c>
      <c r="X462" s="95">
        <f>IF(F$18=0,IF(AND(G462=G514,NOT(G462=G488),NOT(G462=G540),LEN(W462)&gt;0),2,IF(LEN(W462)=0,0,1)),0)</f>
        <v>0</v>
      </c>
      <c r="Y462" s="95" t="str">
        <f t="shared" si="176"/>
        <v xml:space="preserve"> 0-0</v>
      </c>
      <c r="Z462" s="95" t="str">
        <f t="shared" si="177"/>
        <v xml:space="preserve"> 0-0</v>
      </c>
      <c r="AA462" s="95" t="str">
        <f t="shared" si="178"/>
        <v xml:space="preserve"> 0-0</v>
      </c>
      <c r="AB462" s="95" t="str">
        <f t="shared" si="179"/>
        <v xml:space="preserve"> 0-0</v>
      </c>
      <c r="AC462" s="95" t="str">
        <f>IF(AND(LEN(W462)&gt;0,F$18=0),IF(X462=2,W462&amp;" +2, ",W462&amp;", "),"")</f>
        <v/>
      </c>
    </row>
    <row r="463" spans="1:29">
      <c r="A463" s="95">
        <v>18</v>
      </c>
      <c r="B463" s="95">
        <f>IF(Doubles!B108="",0,Doubles!B108)</f>
        <v>0</v>
      </c>
      <c r="C463" s="99" t="str">
        <f>IF(OR(LEFT(B463,LEN(B$19))=B$19,LEFT(B463,LEN(C$19))=C$19,LEN(B463)&lt;2),"",IF(B463="no pick","","Wrong pick"))</f>
        <v/>
      </c>
      <c r="D463" s="95">
        <f t="shared" si="166"/>
        <v>0</v>
      </c>
      <c r="E463" s="95">
        <f t="shared" si="167"/>
        <v>0</v>
      </c>
      <c r="G463" s="95" t="str">
        <f>IF(B463=0,"",IF(B463="no pick","No Pick",IF(LEFT(B463,LEN(B$19))=B$19,B$19,C$19)))</f>
        <v/>
      </c>
      <c r="H463" s="95" t="str">
        <f t="shared" si="168"/>
        <v>0-0</v>
      </c>
      <c r="I463" s="95" t="str">
        <f>IF(AND(J463=$I$2,F$19=0,NOT(E$19="")),IF(OR(AND(Y463=AA463,Z463=AB463),AND(Y463=AB463,Z463=AA463)),"",IF(AND(Y463=Z463,AA463=AB463),Y463&amp;" +2 v. "&amp;AA463&amp;" +2, ",IF(Y463=AA463,Z463&amp;" v. "&amp;AB463&amp;", ",IF(Z463=AB463,Y463&amp;" v. "&amp;AA463&amp;", ",IF(Y463=AB463,Z463&amp;" v. "&amp;AA463&amp;", ",IF(Z463=AA463,Y463&amp;" v. "&amp;AB463&amp;", ",Y463&amp;" v. "&amp;AA463&amp;", "&amp;Z463&amp;" v. "&amp;AB463&amp;", ")))))),"")</f>
        <v/>
      </c>
      <c r="J463" s="95">
        <f>D$19</f>
        <v>0</v>
      </c>
      <c r="K463" s="95" t="str">
        <f t="shared" si="169"/>
        <v>SR</v>
      </c>
      <c r="L463" s="95" t="str">
        <f t="shared" si="170"/>
        <v>0</v>
      </c>
      <c r="M463" s="95" t="str">
        <f t="shared" si="171"/>
        <v>0</v>
      </c>
      <c r="N463" s="95" t="str">
        <f t="shared" si="172"/>
        <v>0</v>
      </c>
      <c r="O463" s="95" t="str">
        <f t="shared" si="173"/>
        <v>0</v>
      </c>
      <c r="P463" s="95" t="str">
        <f t="shared" si="174"/>
        <v>0</v>
      </c>
      <c r="Q463" s="95">
        <f>IF(AND(G463=T$19,LEN(G463)&gt;1),1,0)</f>
        <v>0</v>
      </c>
      <c r="R463" s="97">
        <f>Doubles!G$19</f>
        <v>18</v>
      </c>
      <c r="S463" s="95">
        <f>IF(AND(H463=H$19,LEN(H463)&gt;1,Q463=1),1,0)</f>
        <v>0</v>
      </c>
      <c r="V463" s="97">
        <f>VLOOKUP(18,R446:S469,2,0)</f>
        <v>0</v>
      </c>
      <c r="W463" s="95" t="str">
        <f t="shared" si="175"/>
        <v/>
      </c>
      <c r="X463" s="95">
        <f>IF(F$19=0,IF(AND(G463=G515,NOT(G463=G489),NOT(G463=G541),LEN(W463)&gt;0),2,IF(LEN(W463)=0,0,1)),0)</f>
        <v>0</v>
      </c>
      <c r="Y463" s="95" t="str">
        <f t="shared" si="176"/>
        <v xml:space="preserve"> 0-0</v>
      </c>
      <c r="Z463" s="95" t="str">
        <f t="shared" si="177"/>
        <v xml:space="preserve"> 0-0</v>
      </c>
      <c r="AA463" s="95" t="str">
        <f t="shared" si="178"/>
        <v xml:space="preserve"> 0-0</v>
      </c>
      <c r="AB463" s="95" t="str">
        <f t="shared" si="179"/>
        <v xml:space="preserve"> 0-0</v>
      </c>
      <c r="AC463" s="95" t="str">
        <f>IF(AND(LEN(W463)&gt;0,F$19=0),IF(X463=2,W463&amp;" +2, ",W463&amp;", "),"")</f>
        <v/>
      </c>
    </row>
    <row r="464" spans="1:29">
      <c r="A464" s="95">
        <v>19</v>
      </c>
      <c r="B464" s="95">
        <f>IF(Doubles!B109="",0,Doubles!B109)</f>
        <v>0</v>
      </c>
      <c r="C464" s="99" t="str">
        <f>IF(OR(LEFT(B464,LEN(B$20))=B$20,LEFT(B464,LEN(C$20))=C$20,LEN(B464)&lt;2),"",IF(B464="no pick","","Wrong pick"))</f>
        <v/>
      </c>
      <c r="D464" s="95">
        <f t="shared" si="166"/>
        <v>0</v>
      </c>
      <c r="E464" s="95">
        <f t="shared" si="167"/>
        <v>0</v>
      </c>
      <c r="G464" s="95" t="str">
        <f>IF(B464=0,"",IF(B464="no pick","No Pick",IF(LEFT(B464,LEN(B$20))=B$20,B$20,C$20)))</f>
        <v/>
      </c>
      <c r="H464" s="95" t="str">
        <f t="shared" si="168"/>
        <v>0-0</v>
      </c>
      <c r="I464" s="95" t="str">
        <f>IF(AND(J464=$I$2,F$20=0,NOT(E$20="")),IF(OR(AND(Y464=AA464,Z464=AB464),AND(Y464=AB464,Z464=AA464)),"",IF(AND(Y464=Z464,AA464=AB464),Y464&amp;" +2 v. "&amp;AA464&amp;" +2, ",IF(Y464=AA464,Z464&amp;" v. "&amp;AB464&amp;", ",IF(Z464=AB464,Y464&amp;" v. "&amp;AA464&amp;", ",IF(Y464=AB464,Z464&amp;" v. "&amp;AA464&amp;", ",IF(Z464=AA464,Y464&amp;" v. "&amp;AB464&amp;", ",Y464&amp;" v. "&amp;AA464&amp;", "&amp;Z464&amp;" v. "&amp;AB464&amp;", ")))))),"")</f>
        <v/>
      </c>
      <c r="J464" s="95">
        <f>D$20</f>
        <v>0</v>
      </c>
      <c r="K464" s="95" t="str">
        <f t="shared" si="169"/>
        <v>SR</v>
      </c>
      <c r="L464" s="95" t="str">
        <f t="shared" si="170"/>
        <v>0</v>
      </c>
      <c r="M464" s="95" t="str">
        <f t="shared" si="171"/>
        <v>0</v>
      </c>
      <c r="N464" s="95" t="str">
        <f t="shared" si="172"/>
        <v>0</v>
      </c>
      <c r="O464" s="95" t="str">
        <f t="shared" si="173"/>
        <v>0</v>
      </c>
      <c r="P464" s="95" t="str">
        <f t="shared" si="174"/>
        <v>0</v>
      </c>
      <c r="Q464" s="95">
        <f>IF(AND(G464=T$20,LEN(G464)&gt;1),1,0)</f>
        <v>0</v>
      </c>
      <c r="R464" s="97">
        <f>Doubles!G$20</f>
        <v>19</v>
      </c>
      <c r="S464" s="95">
        <f>IF(AND(H464=H$20,LEN(H464)&gt;1,Q464=1),1,0)</f>
        <v>0</v>
      </c>
      <c r="V464" s="97">
        <f>VLOOKUP(19,R446:S469,2,0)</f>
        <v>0</v>
      </c>
      <c r="W464" s="95" t="str">
        <f t="shared" si="175"/>
        <v/>
      </c>
      <c r="X464" s="95">
        <f>IF(F$20=0,IF(AND(G464=G516,NOT(G464=G490),NOT(G464=G542),LEN(W464)&gt;0),2,IF(LEN(W464)=0,0,1)),0)</f>
        <v>0</v>
      </c>
      <c r="Y464" s="95" t="str">
        <f t="shared" si="176"/>
        <v xml:space="preserve"> 0-0</v>
      </c>
      <c r="Z464" s="95" t="str">
        <f t="shared" si="177"/>
        <v xml:space="preserve"> 0-0</v>
      </c>
      <c r="AA464" s="95" t="str">
        <f t="shared" si="178"/>
        <v xml:space="preserve"> 0-0</v>
      </c>
      <c r="AB464" s="95" t="str">
        <f t="shared" si="179"/>
        <v xml:space="preserve"> 0-0</v>
      </c>
      <c r="AC464" s="95" t="str">
        <f>IF(AND(LEN(W464)&gt;0,F$20=0),IF(X464=2,W464&amp;" +2, ",W464&amp;", "),"")</f>
        <v/>
      </c>
    </row>
    <row r="465" spans="1:29">
      <c r="A465" s="95">
        <v>20</v>
      </c>
      <c r="B465" s="95">
        <f>IF(Doubles!B110="",0,Doubles!B110)</f>
        <v>0</v>
      </c>
      <c r="C465" s="99" t="str">
        <f>IF(OR(LEFT(B465,LEN(B$21))=B$21,LEFT(B465,LEN(C$21))=C$21,LEN(B465)&lt;2),"",IF(B465="no pick","","Wrong pick"))</f>
        <v/>
      </c>
      <c r="D465" s="95">
        <f t="shared" si="166"/>
        <v>0</v>
      </c>
      <c r="E465" s="95">
        <f t="shared" si="167"/>
        <v>0</v>
      </c>
      <c r="G465" s="95" t="str">
        <f>IF(B465=0,"",IF(B465="no pick","No Pick",IF(LEFT(B465,LEN(B$21))=B$21,B$21,C$21)))</f>
        <v/>
      </c>
      <c r="H465" s="95" t="str">
        <f t="shared" si="168"/>
        <v>0-0</v>
      </c>
      <c r="I465" s="95" t="str">
        <f>IF(AND(J465=$I$2,F$21=0,NOT(E$21="")),IF(OR(AND(Y465=AA465,Z465=AB465),AND(Y465=AB465,Z465=AA465)),"",IF(AND(Y465=Z465,AA465=AB465),Y465&amp;" +2 v. "&amp;AA465&amp;" +2, ",IF(Y465=AA465,Z465&amp;" v. "&amp;AB465&amp;", ",IF(Z465=AB465,Y465&amp;" v. "&amp;AA465&amp;", ",IF(Y465=AB465,Z465&amp;" v. "&amp;AA465&amp;", ",IF(Z465=AA465,Y465&amp;" v. "&amp;AB465&amp;", ",Y465&amp;" v. "&amp;AA465&amp;", "&amp;Z465&amp;" v. "&amp;AB465&amp;", ")))))),"")</f>
        <v/>
      </c>
      <c r="J465" s="95">
        <f>D$21</f>
        <v>0</v>
      </c>
      <c r="K465" s="95" t="str">
        <f t="shared" si="169"/>
        <v>SR</v>
      </c>
      <c r="L465" s="95" t="str">
        <f t="shared" si="170"/>
        <v>0</v>
      </c>
      <c r="M465" s="95" t="str">
        <f t="shared" si="171"/>
        <v>0</v>
      </c>
      <c r="N465" s="95" t="str">
        <f t="shared" si="172"/>
        <v>0</v>
      </c>
      <c r="O465" s="95" t="str">
        <f t="shared" si="173"/>
        <v>0</v>
      </c>
      <c r="P465" s="95" t="str">
        <f t="shared" si="174"/>
        <v>0</v>
      </c>
      <c r="Q465" s="95">
        <f>IF(AND(G465=T$21,LEN(G465)&gt;1),1,0)</f>
        <v>0</v>
      </c>
      <c r="R465" s="97">
        <f>Doubles!G$21</f>
        <v>20</v>
      </c>
      <c r="S465" s="95">
        <f>IF(AND(H465=H$21,LEN(H465)&gt;1,Q465=1),1,0)</f>
        <v>0</v>
      </c>
      <c r="V465" s="97">
        <f>VLOOKUP(20,R446:S469,2,0)</f>
        <v>0</v>
      </c>
      <c r="W465" s="95" t="str">
        <f t="shared" si="175"/>
        <v/>
      </c>
      <c r="X465" s="95">
        <f>IF(F$21=0,IF(AND(G465=G517,NOT(G465=G491),NOT(G465=G543),LEN(W465)&gt;0),2,IF(LEN(W465)=0,0,1)),0)</f>
        <v>0</v>
      </c>
      <c r="Y465" s="95" t="str">
        <f t="shared" si="176"/>
        <v xml:space="preserve"> 0-0</v>
      </c>
      <c r="Z465" s="95" t="str">
        <f t="shared" si="177"/>
        <v xml:space="preserve"> 0-0</v>
      </c>
      <c r="AA465" s="95" t="str">
        <f t="shared" si="178"/>
        <v xml:space="preserve"> 0-0</v>
      </c>
      <c r="AB465" s="95" t="str">
        <f t="shared" si="179"/>
        <v xml:space="preserve"> 0-0</v>
      </c>
      <c r="AC465" s="95" t="str">
        <f>IF(AND(LEN(W465)&gt;0,F$21=0),IF(X465=2,W465&amp;" +2, ",W465&amp;", "),"")</f>
        <v/>
      </c>
    </row>
    <row r="466" spans="1:29">
      <c r="A466" s="95">
        <v>21</v>
      </c>
      <c r="B466" s="95">
        <f>IF(Doubles!B111="",0,Doubles!B111)</f>
        <v>0</v>
      </c>
      <c r="C466" s="99" t="str">
        <f>IF(OR(LEFT(B466,LEN(B$22))=B$22,LEFT(B466,LEN(C$22))=C$22,LEN(B466)&lt;2),"",IF(B466="no pick","","Wrong pick"))</f>
        <v/>
      </c>
      <c r="D466" s="95">
        <f t="shared" si="166"/>
        <v>0</v>
      </c>
      <c r="E466" s="95">
        <f t="shared" si="167"/>
        <v>0</v>
      </c>
      <c r="G466" s="95" t="str">
        <f>IF(B466=0,"",IF(B466="no pick","No Pick",IF(LEFT(B466,LEN(B$22))=B$22,B$22,C$22)))</f>
        <v/>
      </c>
      <c r="H466" s="95" t="str">
        <f t="shared" si="168"/>
        <v>0-0</v>
      </c>
      <c r="I466" s="95" t="str">
        <f>IF(AND(J466=$I$2,F$22=0,NOT(E$22="")),IF(OR(AND(Y466=AA466,Z466=AB466),AND(Y466=AB466,Z466=AA466)),"",IF(AND(Y466=Z466,AA466=AB466),Y466&amp;" +2 v. "&amp;AA466&amp;" +2, ",IF(Y466=AA466,Z466&amp;" v. "&amp;AB466&amp;", ",IF(Z466=AB466,Y466&amp;" v. "&amp;AA466&amp;", ",IF(Y466=AB466,Z466&amp;" v. "&amp;AA466&amp;", ",IF(Z466=AA466,Y466&amp;" v. "&amp;AB466&amp;", ",Y466&amp;" v. "&amp;AA466&amp;", "&amp;Z466&amp;" v. "&amp;AB466&amp;", ")))))),"")</f>
        <v/>
      </c>
      <c r="J466" s="95">
        <f>D$22</f>
        <v>0</v>
      </c>
      <c r="K466" s="95" t="str">
        <f t="shared" si="169"/>
        <v>SR</v>
      </c>
      <c r="L466" s="95" t="str">
        <f t="shared" si="170"/>
        <v>0</v>
      </c>
      <c r="M466" s="95" t="str">
        <f t="shared" si="171"/>
        <v>0</v>
      </c>
      <c r="N466" s="95" t="str">
        <f t="shared" si="172"/>
        <v>0</v>
      </c>
      <c r="O466" s="95" t="str">
        <f t="shared" si="173"/>
        <v>0</v>
      </c>
      <c r="P466" s="95" t="str">
        <f t="shared" si="174"/>
        <v>0</v>
      </c>
      <c r="Q466" s="95">
        <f>IF(AND(G466=T$22,LEN(G466)&gt;1),1,0)</f>
        <v>0</v>
      </c>
      <c r="R466" s="97">
        <f>Doubles!G$22</f>
        <v>21</v>
      </c>
      <c r="S466" s="95">
        <f>IF(AND(H466=H$22,LEN(H466)&gt;1,Q466=1),1,0)</f>
        <v>0</v>
      </c>
      <c r="V466" s="97">
        <f>VLOOKUP(21,R446:S469,2,0)</f>
        <v>0</v>
      </c>
      <c r="W466" s="95" t="str">
        <f t="shared" si="175"/>
        <v/>
      </c>
      <c r="X466" s="95">
        <f>IF(F$22=0,IF(AND(G466=G518,NOT(G466=G492),NOT(G466=G544),LEN(W466)&gt;0),2,IF(LEN(W466)=0,0,1)),0)</f>
        <v>0</v>
      </c>
      <c r="Y466" s="95" t="str">
        <f t="shared" si="176"/>
        <v xml:space="preserve"> 0-0</v>
      </c>
      <c r="Z466" s="95" t="str">
        <f t="shared" si="177"/>
        <v xml:space="preserve"> 0-0</v>
      </c>
      <c r="AA466" s="95" t="str">
        <f t="shared" si="178"/>
        <v xml:space="preserve"> 0-0</v>
      </c>
      <c r="AB466" s="95" t="str">
        <f t="shared" si="179"/>
        <v xml:space="preserve"> 0-0</v>
      </c>
      <c r="AC466" s="95" t="str">
        <f>IF(AND(LEN(W466)&gt;0,F$22=0),IF(X466=2,W466&amp;" +2, ",W466&amp;", "),"")</f>
        <v/>
      </c>
    </row>
    <row r="467" spans="1:29">
      <c r="A467" s="95">
        <v>22</v>
      </c>
      <c r="B467" s="95">
        <f>IF(Doubles!B112="",0,Doubles!B112)</f>
        <v>0</v>
      </c>
      <c r="C467" s="99" t="str">
        <f>IF(OR(LEFT(B467,LEN(B$23))=B$23,LEFT(B467,LEN(C$23))=C$23,LEN(B467)&lt;2),"",IF(B467="no pick","","Wrong pick"))</f>
        <v/>
      </c>
      <c r="D467" s="95">
        <f t="shared" si="166"/>
        <v>0</v>
      </c>
      <c r="E467" s="95">
        <f t="shared" si="167"/>
        <v>0</v>
      </c>
      <c r="G467" s="95" t="str">
        <f>IF(B467=0,"",IF(B467="no pick","No Pick",IF(LEFT(B467,LEN(B$23))=B$23,B$23,C$23)))</f>
        <v/>
      </c>
      <c r="H467" s="95" t="str">
        <f t="shared" si="168"/>
        <v>0-0</v>
      </c>
      <c r="I467" s="95" t="str">
        <f>IF(AND(J467=$I$2,F$23=0,NOT(E$23="")),IF(OR(AND(Y467=AA467,Z467=AB467),AND(Y467=AB467,Z467=AA467)),"",IF(AND(Y467=Z467,AA467=AB467),Y467&amp;" +2 v. "&amp;AA467&amp;" +2, ",IF(Y467=AA467,Z467&amp;" v. "&amp;AB467&amp;", ",IF(Z467=AB467,Y467&amp;" v. "&amp;AA467&amp;", ",IF(Y467=AB467,Z467&amp;" v. "&amp;AA467&amp;", ",IF(Z467=AA467,Y467&amp;" v. "&amp;AB467&amp;", ",Y467&amp;" v. "&amp;AA467&amp;", "&amp;Z467&amp;" v. "&amp;AB467&amp;", ")))))),"")</f>
        <v/>
      </c>
      <c r="J467" s="95">
        <f>D$23</f>
        <v>0</v>
      </c>
      <c r="K467" s="95" t="str">
        <f t="shared" si="169"/>
        <v>SR</v>
      </c>
      <c r="L467" s="95" t="str">
        <f t="shared" si="170"/>
        <v>0</v>
      </c>
      <c r="M467" s="95" t="str">
        <f t="shared" si="171"/>
        <v>0</v>
      </c>
      <c r="N467" s="95" t="str">
        <f t="shared" si="172"/>
        <v>0</v>
      </c>
      <c r="O467" s="95" t="str">
        <f t="shared" si="173"/>
        <v>0</v>
      </c>
      <c r="P467" s="95" t="str">
        <f t="shared" si="174"/>
        <v>0</v>
      </c>
      <c r="Q467" s="95">
        <f>IF(AND(G467=T$23,LEN(G467)&gt;1),1,0)</f>
        <v>0</v>
      </c>
      <c r="R467" s="97">
        <f>Doubles!G$23</f>
        <v>22</v>
      </c>
      <c r="S467" s="95">
        <f>IF(AND(H467=H$23,LEN(H467)&gt;1,Q467=1),1,0)</f>
        <v>0</v>
      </c>
      <c r="V467" s="97">
        <f>VLOOKUP(22,R446:S469,2,0)</f>
        <v>0</v>
      </c>
      <c r="W467" s="95" t="str">
        <f t="shared" si="175"/>
        <v/>
      </c>
      <c r="X467" s="95">
        <f>IF(F$23=0,IF(AND(G467=G519,NOT(G467=G493),NOT(G467=G545),LEN(W467)&gt;0),2,IF(LEN(W467)=0,0,1)),0)</f>
        <v>0</v>
      </c>
      <c r="Y467" s="95" t="str">
        <f t="shared" si="176"/>
        <v xml:space="preserve"> 0-0</v>
      </c>
      <c r="Z467" s="95" t="str">
        <f t="shared" si="177"/>
        <v xml:space="preserve"> 0-0</v>
      </c>
      <c r="AA467" s="95" t="str">
        <f t="shared" si="178"/>
        <v xml:space="preserve"> 0-0</v>
      </c>
      <c r="AB467" s="95" t="str">
        <f t="shared" si="179"/>
        <v xml:space="preserve"> 0-0</v>
      </c>
      <c r="AC467" s="95" t="str">
        <f>IF(AND(LEN(W467)&gt;0,F$23=0),IF(X467=2,W467&amp;" +2, ",W467&amp;", "),"")</f>
        <v/>
      </c>
    </row>
    <row r="468" spans="1:29">
      <c r="A468" s="95">
        <v>23</v>
      </c>
      <c r="B468" s="95">
        <f>IF(Doubles!B113="",0,Doubles!B113)</f>
        <v>0</v>
      </c>
      <c r="C468" s="99" t="str">
        <f>IF(OR(LEFT(B468,LEN(B$24))=B$24,LEFT(B468,LEN(C$24))=C$24,LEN(B468)&lt;2),"",IF(B468="no pick","","Wrong pick"))</f>
        <v/>
      </c>
      <c r="D468" s="95">
        <f t="shared" si="166"/>
        <v>0</v>
      </c>
      <c r="E468" s="95">
        <f t="shared" si="167"/>
        <v>0</v>
      </c>
      <c r="G468" s="95" t="str">
        <f>IF(B468=0,"",IF(B468="no pick","No Pick",IF(LEFT(B468,LEN(B$24))=B$24,B$24,C$24)))</f>
        <v/>
      </c>
      <c r="H468" s="95" t="str">
        <f t="shared" si="168"/>
        <v>0-0</v>
      </c>
      <c r="I468" s="95" t="str">
        <f>IF(AND(J468=$I$2,F$24=0,NOT(E$24="")),IF(OR(AND(Y468=AA468,Z468=AB468),AND(Y468=AB468,Z468=AA468)),"",IF(AND(Y468=Z468,AA468=AB468),Y468&amp;" +2 v. "&amp;AA468&amp;" +2, ",IF(Y468=AA468,Z468&amp;" v. "&amp;AB468&amp;", ",IF(Z468=AB468,Y468&amp;" v. "&amp;AA468&amp;", ",IF(Y468=AB468,Z468&amp;" v. "&amp;AA468&amp;", ",IF(Z468=AA468,Y468&amp;" v. "&amp;AB468&amp;", ",Y468&amp;" v. "&amp;AA468&amp;", "&amp;Z468&amp;" v. "&amp;AB468&amp;", ")))))),"")</f>
        <v/>
      </c>
      <c r="J468" s="95">
        <f>D$24</f>
        <v>0</v>
      </c>
      <c r="K468" s="95" t="str">
        <f t="shared" si="169"/>
        <v>SR</v>
      </c>
      <c r="L468" s="95" t="str">
        <f t="shared" si="170"/>
        <v>0</v>
      </c>
      <c r="M468" s="95" t="str">
        <f t="shared" si="171"/>
        <v>0</v>
      </c>
      <c r="N468" s="95" t="str">
        <f t="shared" si="172"/>
        <v>0</v>
      </c>
      <c r="O468" s="95" t="str">
        <f t="shared" si="173"/>
        <v>0</v>
      </c>
      <c r="P468" s="95" t="str">
        <f t="shared" si="174"/>
        <v>0</v>
      </c>
      <c r="Q468" s="95">
        <f>IF(AND(G468=T$24,LEN(G468)&gt;1),1,0)</f>
        <v>0</v>
      </c>
      <c r="R468" s="97">
        <f>Doubles!G$24</f>
        <v>23</v>
      </c>
      <c r="S468" s="95">
        <f>IF(AND(H468=H$24,LEN(H468)&gt;1,Q468=1),1,0)</f>
        <v>0</v>
      </c>
      <c r="V468" s="97">
        <f>VLOOKUP(23,R446:S469,2,0)</f>
        <v>0</v>
      </c>
      <c r="W468" s="95" t="str">
        <f t="shared" si="175"/>
        <v/>
      </c>
      <c r="X468" s="95">
        <f>IF(F$24=0,IF(AND(G468=G520,NOT(G468=G494),NOT(G468=G546),LEN(W468)&gt;0),2,IF(LEN(W468)=0,0,1)),0)</f>
        <v>0</v>
      </c>
      <c r="Y468" s="95" t="str">
        <f t="shared" si="176"/>
        <v xml:space="preserve"> 0-0</v>
      </c>
      <c r="Z468" s="95" t="str">
        <f t="shared" si="177"/>
        <v xml:space="preserve"> 0-0</v>
      </c>
      <c r="AA468" s="95" t="str">
        <f t="shared" si="178"/>
        <v xml:space="preserve"> 0-0</v>
      </c>
      <c r="AB468" s="95" t="str">
        <f t="shared" si="179"/>
        <v xml:space="preserve"> 0-0</v>
      </c>
      <c r="AC468" s="95" t="str">
        <f>IF(AND(LEN(W468)&gt;0,F$24=0),IF(X468=2,W468&amp;" +2, ",W468&amp;", "),"")</f>
        <v/>
      </c>
    </row>
    <row r="469" spans="1:29">
      <c r="A469" s="95">
        <v>24</v>
      </c>
      <c r="B469" s="95">
        <f>IF(Doubles!B114="",0,Doubles!B114)</f>
        <v>0</v>
      </c>
      <c r="C469" s="99" t="str">
        <f>IF(OR(LEFT(B469,LEN(B$25))=B$25,LEFT(B469,LEN(C$25))=C$25,LEN(B469)&lt;2),"",IF(B469="no pick","","Wrong pick"))</f>
        <v/>
      </c>
      <c r="D469" s="95">
        <f t="shared" si="166"/>
        <v>0</v>
      </c>
      <c r="E469" s="95">
        <f t="shared" si="167"/>
        <v>0</v>
      </c>
      <c r="G469" s="95" t="str">
        <f>IF(B469=0,"",IF(B469="no pick","No Pick",IF(LEFT(B469,LEN(B$25))=B$25,B$25,C$25)))</f>
        <v/>
      </c>
      <c r="H469" s="95" t="str">
        <f t="shared" si="168"/>
        <v>0-0</v>
      </c>
      <c r="I469" s="95" t="str">
        <f>IF(AND(J469=$I$2,F$25=0,NOT(E$25="")),IF(OR(AND(Y469=AA469,Z469=AB469),AND(Y469=AB469,Z469=AA469)),"",IF(AND(Y469=Z469,AA469=AB469),Y469&amp;" +2 v. "&amp;AA469&amp;" +2, ",IF(Y469=AA469,Z469&amp;" v. "&amp;AB469&amp;", ",IF(Z469=AB469,Y469&amp;" v. "&amp;AA469&amp;", ",IF(Y469=AB469,Z469&amp;" v. "&amp;AA469&amp;", ",IF(Z469=AA469,Y469&amp;" v. "&amp;AB469&amp;", ",Y469&amp;" v. "&amp;AA469&amp;", "&amp;Z469&amp;" v. "&amp;AB469&amp;", ")))))),"")</f>
        <v/>
      </c>
      <c r="J469" s="95">
        <f>D$25</f>
        <v>0</v>
      </c>
      <c r="K469" s="95" t="str">
        <f t="shared" si="169"/>
        <v>SR</v>
      </c>
      <c r="L469" s="95" t="str">
        <f t="shared" si="170"/>
        <v>0</v>
      </c>
      <c r="M469" s="95" t="str">
        <f t="shared" si="171"/>
        <v>0</v>
      </c>
      <c r="N469" s="95" t="str">
        <f t="shared" si="172"/>
        <v>0</v>
      </c>
      <c r="O469" s="95" t="str">
        <f t="shared" si="173"/>
        <v>0</v>
      </c>
      <c r="P469" s="95" t="str">
        <f t="shared" si="174"/>
        <v>0</v>
      </c>
      <c r="Q469" s="95">
        <f>IF(AND(G469=T$25,LEN(G469)&gt;1),1,0)</f>
        <v>0</v>
      </c>
      <c r="R469" s="97">
        <f>Doubles!G$25</f>
        <v>24</v>
      </c>
      <c r="S469" s="95">
        <f>IF(AND(H469=H$25,LEN(H469)&gt;1,Q469=1),1,0)</f>
        <v>0</v>
      </c>
      <c r="V469" s="97">
        <f>VLOOKUP(24,R446:S469,2,0)</f>
        <v>0</v>
      </c>
      <c r="W469" s="95" t="str">
        <f t="shared" si="175"/>
        <v/>
      </c>
      <c r="X469" s="95">
        <f>IF(F$25=0,IF(AND(G469=G521,NOT(G469=G495),NOT(G469=G547),LEN(W469)&gt;0),2,IF(LEN(W469)=0,0,1)),0)</f>
        <v>0</v>
      </c>
      <c r="Y469" s="95" t="str">
        <f t="shared" si="176"/>
        <v xml:space="preserve"> 0-0</v>
      </c>
      <c r="Z469" s="95" t="str">
        <f t="shared" si="177"/>
        <v xml:space="preserve"> 0-0</v>
      </c>
      <c r="AA469" s="95" t="str">
        <f t="shared" si="178"/>
        <v xml:space="preserve"> 0-0</v>
      </c>
      <c r="AB469" s="95" t="str">
        <f t="shared" si="179"/>
        <v xml:space="preserve"> 0-0</v>
      </c>
      <c r="AC469" s="95" t="str">
        <f>IF(AND(LEN(W469)&gt;0,F$25=0),IF(X469=2,W469&amp;" +2, ",W469&amp;", "),"")</f>
        <v/>
      </c>
    </row>
    <row r="471" spans="1:29">
      <c r="A471" s="95" t="e">
        <f>IF(LEN(VLOOKUP(B471,Doubles!$A$2:$D$17,4,0))&gt;0,VLOOKUP(B471,Doubles!$A$2:$D$17,4,0),"")</f>
        <v>#N/A</v>
      </c>
      <c r="B471" s="96">
        <f>Doubles!D90</f>
        <v>0</v>
      </c>
      <c r="C471" s="96">
        <v>2</v>
      </c>
      <c r="D471" s="95" t="e">
        <f>VLOOKUP(B471,Doubles!$A$2:$E$17,5,0)</f>
        <v>#N/A</v>
      </c>
      <c r="J471" s="95" t="s">
        <v>88</v>
      </c>
      <c r="Q471" s="95" t="s">
        <v>121</v>
      </c>
      <c r="S471" s="95" t="s">
        <v>122</v>
      </c>
      <c r="T471" s="95" t="e">
        <f>IF(LEN(A471)&gt;0,"("&amp;A471&amp;") "&amp;B471,B471)</f>
        <v>#N/A</v>
      </c>
      <c r="V471" s="95" t="s">
        <v>122</v>
      </c>
      <c r="Z471" s="95" t="s">
        <v>129</v>
      </c>
    </row>
    <row r="472" spans="1:29">
      <c r="A472" s="95">
        <v>1</v>
      </c>
      <c r="B472" s="95">
        <f ca="1">IF(Doubles!D91="",0,Doubles!D91)</f>
        <v>0</v>
      </c>
      <c r="C472" s="99" t="str">
        <f ca="1">IF(OR(LEFT(B472,LEN(B$2))=B$2,LEFT(B472,LEN(C$2))=C$2,LEN(B472)&lt;2),"",IF(B472="no pick","","Wrong pick"))</f>
        <v/>
      </c>
      <c r="E472" s="95">
        <f t="shared" ref="E472:E495" ca="1" si="180">IF(AND($I$2=J472,B472=0),1,0)</f>
        <v>1</v>
      </c>
      <c r="F472" s="95" t="str">
        <f ca="1">IF(AND(SUM(E472:E495)=$I$4,NOT(B471="Bye")),"Missing picks from "&amp;B471&amp;" ","")</f>
        <v xml:space="preserve">Missing picks from 0 </v>
      </c>
      <c r="G472" s="95" t="str">
        <f ca="1">IF(B472=0,"",IF(B472="no pick","No Pick",IF(LEFT(B472,LEN(B$2))=B$2,B$2,C$2)))</f>
        <v/>
      </c>
      <c r="H472" s="95" t="str">
        <f t="shared" ref="H472:H495" ca="1" si="181">IF(L472="","",IF(K472="PTS",IF(LEN(O472)&lt;8,"2-0","2-1"),LEFT(O472,1)&amp;"-"&amp;RIGHT(O472,1)))</f>
        <v>0-0</v>
      </c>
      <c r="J472" s="97">
        <f>D$2</f>
        <v>1</v>
      </c>
      <c r="K472" s="95" t="str">
        <f t="shared" ref="K472:K495" ca="1" si="182">IF(LEN(L472)&gt;0,IF(LEN(O472)&lt;4,"SR","PTS"),"")</f>
        <v>SR</v>
      </c>
      <c r="L472" s="95" t="str">
        <f t="shared" ref="L472:L495" ca="1" si="183">TRIM(RIGHT(B472,LEN(B472)-LEN(G472)))</f>
        <v>0</v>
      </c>
      <c r="M472" s="95" t="str">
        <f t="shared" ref="M472:M495" ca="1" si="184">SUBSTITUTE(L472,"-","")</f>
        <v>0</v>
      </c>
      <c r="N472" s="95" t="str">
        <f t="shared" ref="N472:N495" ca="1" si="185">SUBSTITUTE(M472,","," ")</f>
        <v>0</v>
      </c>
      <c r="O472" s="95" t="str">
        <f t="shared" ref="O472:O495" ca="1" si="186">IF(AND(LEN(TRIM(SUBSTITUTE(P472,"/","")))&gt;6,OR(LEFT(TRIM(SUBSTITUTE(P472,"/","")),2)="20",LEFT(TRIM(SUBSTITUTE(P472,"/","")),2)="21")),RIGHT(TRIM(SUBSTITUTE(P472,"/","")),LEN(TRIM(SUBSTITUTE(P472,"/","")))-3),TRIM(SUBSTITUTE(P472,"/","")))</f>
        <v>0</v>
      </c>
      <c r="P472" s="95" t="str">
        <f t="shared" ref="P472:P495" ca="1" si="187">SUBSTITUTE(N472,":","")</f>
        <v>0</v>
      </c>
      <c r="Q472" s="95">
        <f ca="1">IF(AND(G472=T$2,LEN(G472)&gt;1),1,0)</f>
        <v>0</v>
      </c>
      <c r="R472" s="97">
        <f>Doubles!G$2</f>
        <v>1</v>
      </c>
      <c r="S472" s="95">
        <f ca="1">IF(AND(H472=H$2,LEN(H472)&gt;1,Q472=1),1,0)</f>
        <v>0</v>
      </c>
      <c r="V472" s="97">
        <f ca="1">VLOOKUP(1,R472:S495,2,0)</f>
        <v>0</v>
      </c>
      <c r="W472" s="95">
        <v>1</v>
      </c>
      <c r="Y472" s="95">
        <f ca="1">COUNTIF(X446:X469,"&gt;0")</f>
        <v>0</v>
      </c>
    </row>
    <row r="473" spans="1:29">
      <c r="A473" s="95">
        <v>2</v>
      </c>
      <c r="B473" s="95">
        <f ca="1">IF(Doubles!D92="",0,Doubles!D92)</f>
        <v>0</v>
      </c>
      <c r="C473" s="99" t="str">
        <f ca="1">IF(OR(LEFT(B473,LEN(B$3))=B$3,LEFT(B473,LEN(C$3))=C$3,LEN(B473)&lt;2),"",IF(B473="no pick","","Wrong pick"))</f>
        <v/>
      </c>
      <c r="E473" s="95">
        <f t="shared" ca="1" si="180"/>
        <v>1</v>
      </c>
      <c r="G473" s="95" t="str">
        <f ca="1">IF(B473=0,"",IF(B473="no pick","No Pick",IF(LEFT(B473,LEN(B$3))=B$3,B$3,C$3)))</f>
        <v/>
      </c>
      <c r="H473" s="95" t="str">
        <f t="shared" ca="1" si="181"/>
        <v>0-0</v>
      </c>
      <c r="J473" s="97">
        <f>D$3</f>
        <v>1</v>
      </c>
      <c r="K473" s="95" t="str">
        <f t="shared" ca="1" si="182"/>
        <v>SR</v>
      </c>
      <c r="L473" s="95" t="str">
        <f t="shared" ca="1" si="183"/>
        <v>0</v>
      </c>
      <c r="M473" s="95" t="str">
        <f t="shared" ca="1" si="184"/>
        <v>0</v>
      </c>
      <c r="N473" s="95" t="str">
        <f t="shared" ca="1" si="185"/>
        <v>0</v>
      </c>
      <c r="O473" s="95" t="str">
        <f t="shared" ca="1" si="186"/>
        <v>0</v>
      </c>
      <c r="P473" s="95" t="str">
        <f t="shared" ca="1" si="187"/>
        <v>0</v>
      </c>
      <c r="Q473" s="95">
        <f ca="1">IF(AND(G473=T$3,LEN(G473)&gt;1),1,0)</f>
        <v>0</v>
      </c>
      <c r="R473" s="97">
        <f>Doubles!G$3</f>
        <v>2</v>
      </c>
      <c r="S473" s="95">
        <f ca="1">IF(AND(H473=H$3,LEN(H473)&gt;1,Q473=1),1,0)</f>
        <v>0</v>
      </c>
      <c r="V473" s="97">
        <f ca="1">VLOOKUP(2,R472:S495,2,0)</f>
        <v>0</v>
      </c>
      <c r="W473" s="95">
        <v>2</v>
      </c>
    </row>
    <row r="474" spans="1:29">
      <c r="A474" s="95">
        <v>3</v>
      </c>
      <c r="B474" s="95">
        <f ca="1">IF(Doubles!D93="",0,Doubles!D93)</f>
        <v>0</v>
      </c>
      <c r="C474" s="99" t="str">
        <f ca="1">IF(OR(LEFT(B474,LEN(B$4))=B$4,LEFT(B474,LEN(C$4))=C$4,LEN(B474)&lt;2),"",IF(B474="no pick","","Wrong pick"))</f>
        <v/>
      </c>
      <c r="E474" s="95">
        <f t="shared" ca="1" si="180"/>
        <v>1</v>
      </c>
      <c r="G474" s="95" t="str">
        <f ca="1">IF(B474=0,"",IF(B474="no pick","No Pick",IF(LEFT(B474,LEN(B$4))=B$4,B$4,C$4)))</f>
        <v/>
      </c>
      <c r="H474" s="95" t="str">
        <f t="shared" ca="1" si="181"/>
        <v>0-0</v>
      </c>
      <c r="J474" s="97">
        <f>D$4</f>
        <v>1</v>
      </c>
      <c r="K474" s="95" t="str">
        <f t="shared" ca="1" si="182"/>
        <v>SR</v>
      </c>
      <c r="L474" s="95" t="str">
        <f t="shared" ca="1" si="183"/>
        <v>0</v>
      </c>
      <c r="M474" s="95" t="str">
        <f t="shared" ca="1" si="184"/>
        <v>0</v>
      </c>
      <c r="N474" s="95" t="str">
        <f t="shared" ca="1" si="185"/>
        <v>0</v>
      </c>
      <c r="O474" s="95" t="str">
        <f t="shared" ca="1" si="186"/>
        <v>0</v>
      </c>
      <c r="P474" s="95" t="str">
        <f t="shared" ca="1" si="187"/>
        <v>0</v>
      </c>
      <c r="Q474" s="95">
        <f ca="1">IF(AND(G474=T$4,LEN(G474)&gt;1),1,0)</f>
        <v>0</v>
      </c>
      <c r="R474" s="97">
        <f>Doubles!G$4</f>
        <v>3</v>
      </c>
      <c r="S474" s="95">
        <f ca="1">IF(AND(H474=H$4,LEN(H474)&gt;1,Q474=1),1,0)</f>
        <v>0</v>
      </c>
      <c r="V474" s="97">
        <f ca="1">VLOOKUP(3,R472:S495,2,0)</f>
        <v>0</v>
      </c>
      <c r="W474" s="95">
        <v>3</v>
      </c>
    </row>
    <row r="475" spans="1:29">
      <c r="A475" s="95">
        <v>4</v>
      </c>
      <c r="B475" s="95">
        <f ca="1">IF(Doubles!D94="",0,Doubles!D94)</f>
        <v>0</v>
      </c>
      <c r="C475" s="99" t="str">
        <f ca="1">IF(OR(LEFT(B475,LEN(B$5))=B$5,LEFT(B475,LEN(C$5))=C$5,LEN(B475)&lt;2),"",IF(B475="no pick","","Wrong pick"))</f>
        <v/>
      </c>
      <c r="E475" s="95">
        <f t="shared" ca="1" si="180"/>
        <v>1</v>
      </c>
      <c r="G475" s="95" t="str">
        <f ca="1">IF(B475=0,"",IF(B475="no pick","No Pick",IF(LEFT(B475,LEN(B$5))=B$5,B$5,C$5)))</f>
        <v/>
      </c>
      <c r="H475" s="95" t="str">
        <f t="shared" ca="1" si="181"/>
        <v>0-0</v>
      </c>
      <c r="J475" s="97">
        <f>D$5</f>
        <v>1</v>
      </c>
      <c r="K475" s="95" t="str">
        <f t="shared" ca="1" si="182"/>
        <v>SR</v>
      </c>
      <c r="L475" s="95" t="str">
        <f t="shared" ca="1" si="183"/>
        <v>0</v>
      </c>
      <c r="M475" s="95" t="str">
        <f t="shared" ca="1" si="184"/>
        <v>0</v>
      </c>
      <c r="N475" s="95" t="str">
        <f t="shared" ca="1" si="185"/>
        <v>0</v>
      </c>
      <c r="O475" s="95" t="str">
        <f t="shared" ca="1" si="186"/>
        <v>0</v>
      </c>
      <c r="P475" s="95" t="str">
        <f t="shared" ca="1" si="187"/>
        <v>0</v>
      </c>
      <c r="Q475" s="95">
        <f ca="1">IF(AND(G475=T$5,LEN(G475)&gt;1),1,0)</f>
        <v>0</v>
      </c>
      <c r="R475" s="97">
        <f>Doubles!G$5</f>
        <v>4</v>
      </c>
      <c r="S475" s="95">
        <f ca="1">IF(AND(H475=H$5,LEN(H475)&gt;1,Q475=1),1,0)</f>
        <v>0</v>
      </c>
      <c r="V475" s="97">
        <f ca="1">VLOOKUP(4,R472:S495,2,0)</f>
        <v>0</v>
      </c>
      <c r="W475" s="95">
        <v>4</v>
      </c>
    </row>
    <row r="476" spans="1:29">
      <c r="A476" s="95">
        <v>5</v>
      </c>
      <c r="B476" s="95">
        <f ca="1">IF(Doubles!D95="",0,Doubles!D95)</f>
        <v>0</v>
      </c>
      <c r="C476" s="99" t="str">
        <f ca="1">IF(OR(LEFT(B476,LEN(B$6))=B$6,LEFT(B476,LEN(C$6))=C$6,LEN(B476)&lt;2),"",IF(B476="no pick","","Wrong pick"))</f>
        <v/>
      </c>
      <c r="E476" s="95">
        <f t="shared" ca="1" si="180"/>
        <v>1</v>
      </c>
      <c r="G476" s="95" t="str">
        <f ca="1">IF(B476=0,"",IF(B476="no pick","No Pick",IF(LEFT(B476,LEN(B$6))=B$6,B$6,C$6)))</f>
        <v/>
      </c>
      <c r="H476" s="95" t="str">
        <f t="shared" ca="1" si="181"/>
        <v>0-0</v>
      </c>
      <c r="J476" s="97">
        <f>D$6</f>
        <v>1</v>
      </c>
      <c r="K476" s="95" t="str">
        <f t="shared" ca="1" si="182"/>
        <v>SR</v>
      </c>
      <c r="L476" s="95" t="str">
        <f t="shared" ca="1" si="183"/>
        <v>0</v>
      </c>
      <c r="M476" s="95" t="str">
        <f t="shared" ca="1" si="184"/>
        <v>0</v>
      </c>
      <c r="N476" s="95" t="str">
        <f t="shared" ca="1" si="185"/>
        <v>0</v>
      </c>
      <c r="O476" s="95" t="str">
        <f t="shared" ca="1" si="186"/>
        <v>0</v>
      </c>
      <c r="P476" s="95" t="str">
        <f t="shared" ca="1" si="187"/>
        <v>0</v>
      </c>
      <c r="Q476" s="95">
        <f ca="1">IF(AND(G476=T$6,LEN(G476)&gt;1),1,0)</f>
        <v>0</v>
      </c>
      <c r="R476" s="97">
        <f>Doubles!G$6</f>
        <v>5</v>
      </c>
      <c r="S476" s="95">
        <f ca="1">IF(AND(H476=H$6,LEN(H476)&gt;1,Q476=1),1,0)</f>
        <v>0</v>
      </c>
      <c r="V476" s="97">
        <f ca="1">VLOOKUP(5,R472:S495,2,0)</f>
        <v>0</v>
      </c>
      <c r="W476" s="95">
        <v>5</v>
      </c>
    </row>
    <row r="477" spans="1:29">
      <c r="A477" s="95">
        <v>6</v>
      </c>
      <c r="B477" s="95">
        <f ca="1">IF(Doubles!D96="",0,Doubles!D96)</f>
        <v>0</v>
      </c>
      <c r="C477" s="99" t="str">
        <f ca="1">IF(OR(LEFT(B477,LEN(B$7))=B$7,LEFT(B477,LEN(C$7))=C$7,LEN(B477)&lt;2),"",IF(B477="no pick","","Wrong pick"))</f>
        <v/>
      </c>
      <c r="E477" s="95">
        <f t="shared" ca="1" si="180"/>
        <v>1</v>
      </c>
      <c r="G477" s="95" t="str">
        <f ca="1">IF(B477=0,"",IF(B477="no pick","No Pick",IF(LEFT(B477,LEN(B$7))=B$7,B$7,C$7)))</f>
        <v/>
      </c>
      <c r="H477" s="95" t="str">
        <f t="shared" ca="1" si="181"/>
        <v>0-0</v>
      </c>
      <c r="J477" s="97">
        <f>D$7</f>
        <v>1</v>
      </c>
      <c r="K477" s="95" t="str">
        <f t="shared" ca="1" si="182"/>
        <v>SR</v>
      </c>
      <c r="L477" s="95" t="str">
        <f t="shared" ca="1" si="183"/>
        <v>0</v>
      </c>
      <c r="M477" s="95" t="str">
        <f t="shared" ca="1" si="184"/>
        <v>0</v>
      </c>
      <c r="N477" s="95" t="str">
        <f t="shared" ca="1" si="185"/>
        <v>0</v>
      </c>
      <c r="O477" s="95" t="str">
        <f t="shared" ca="1" si="186"/>
        <v>0</v>
      </c>
      <c r="P477" s="95" t="str">
        <f t="shared" ca="1" si="187"/>
        <v>0</v>
      </c>
      <c r="Q477" s="95">
        <f ca="1">IF(AND(G477=T$7,LEN(G477)&gt;1),1,0)</f>
        <v>0</v>
      </c>
      <c r="R477" s="97">
        <f>Doubles!G$7</f>
        <v>6</v>
      </c>
      <c r="S477" s="95">
        <f ca="1">IF(AND(H477=H$7,LEN(H477)&gt;1,Q477=1),1,0)</f>
        <v>0</v>
      </c>
      <c r="V477" s="97">
        <f ca="1">VLOOKUP(6,R472:S495,2,0)</f>
        <v>0</v>
      </c>
      <c r="W477" s="95">
        <v>6</v>
      </c>
    </row>
    <row r="478" spans="1:29">
      <c r="A478" s="95">
        <v>7</v>
      </c>
      <c r="B478" s="95">
        <f ca="1">IF(Doubles!D97="",0,Doubles!D97)</f>
        <v>0</v>
      </c>
      <c r="C478" s="99" t="str">
        <f ca="1">IF(OR(LEFT(B478,LEN(B$8))=B$8,LEFT(B478,LEN(C$8))=C$8,LEN(B478)&lt;2),"",IF(B478="no pick","","Wrong pick"))</f>
        <v/>
      </c>
      <c r="E478" s="95">
        <f t="shared" ca="1" si="180"/>
        <v>1</v>
      </c>
      <c r="G478" s="95" t="str">
        <f ca="1">IF(B478=0,"",IF(B478="no pick","No Pick",IF(LEFT(B478,LEN(B$8))=B$8,B$8,C$8)))</f>
        <v/>
      </c>
      <c r="H478" s="95" t="str">
        <f t="shared" ca="1" si="181"/>
        <v>0-0</v>
      </c>
      <c r="J478" s="97">
        <f>D$8</f>
        <v>1</v>
      </c>
      <c r="K478" s="95" t="str">
        <f t="shared" ca="1" si="182"/>
        <v>SR</v>
      </c>
      <c r="L478" s="95" t="str">
        <f t="shared" ca="1" si="183"/>
        <v>0</v>
      </c>
      <c r="M478" s="95" t="str">
        <f t="shared" ca="1" si="184"/>
        <v>0</v>
      </c>
      <c r="N478" s="95" t="str">
        <f t="shared" ca="1" si="185"/>
        <v>0</v>
      </c>
      <c r="O478" s="95" t="str">
        <f t="shared" ca="1" si="186"/>
        <v>0</v>
      </c>
      <c r="P478" s="95" t="str">
        <f t="shared" ca="1" si="187"/>
        <v>0</v>
      </c>
      <c r="Q478" s="95">
        <f ca="1">IF(AND(G478=T$8,LEN(G478)&gt;1),1,0)</f>
        <v>0</v>
      </c>
      <c r="R478" s="97">
        <f>Doubles!G$8</f>
        <v>7</v>
      </c>
      <c r="S478" s="95">
        <f ca="1">IF(AND(H478=H$8,LEN(H478)&gt;1,Q478=1),1,0)</f>
        <v>0</v>
      </c>
      <c r="V478" s="97">
        <f ca="1">VLOOKUP(7,R472:S495,2,0)</f>
        <v>0</v>
      </c>
      <c r="W478" s="95">
        <v>7</v>
      </c>
    </row>
    <row r="479" spans="1:29">
      <c r="A479" s="95">
        <v>8</v>
      </c>
      <c r="B479" s="95">
        <f ca="1">IF(Doubles!D98="",0,Doubles!D98)</f>
        <v>0</v>
      </c>
      <c r="C479" s="99" t="str">
        <f ca="1">IF(OR(LEFT(B479,LEN(B$9))=B$9,LEFT(B479,LEN(C$9))=C$9,LEN(B479)&lt;2),"",IF(B479="no pick","","Wrong pick"))</f>
        <v/>
      </c>
      <c r="E479" s="95">
        <f t="shared" ca="1" si="180"/>
        <v>1</v>
      </c>
      <c r="G479" s="95" t="str">
        <f ca="1">IF(B479=0,"",IF(B479="no pick","No Pick",IF(LEFT(B479,LEN(B$9))=B$9,B$9,C$9)))</f>
        <v/>
      </c>
      <c r="H479" s="95" t="str">
        <f t="shared" ca="1" si="181"/>
        <v>0-0</v>
      </c>
      <c r="J479" s="97">
        <f>D$9</f>
        <v>1</v>
      </c>
      <c r="K479" s="95" t="str">
        <f t="shared" ca="1" si="182"/>
        <v>SR</v>
      </c>
      <c r="L479" s="95" t="str">
        <f t="shared" ca="1" si="183"/>
        <v>0</v>
      </c>
      <c r="M479" s="95" t="str">
        <f t="shared" ca="1" si="184"/>
        <v>0</v>
      </c>
      <c r="N479" s="95" t="str">
        <f t="shared" ca="1" si="185"/>
        <v>0</v>
      </c>
      <c r="O479" s="95" t="str">
        <f t="shared" ca="1" si="186"/>
        <v>0</v>
      </c>
      <c r="P479" s="95" t="str">
        <f t="shared" ca="1" si="187"/>
        <v>0</v>
      </c>
      <c r="Q479" s="95">
        <f ca="1">IF(AND(G479=T$9,LEN(G479)&gt;1),1,0)</f>
        <v>0</v>
      </c>
      <c r="R479" s="97">
        <f>Doubles!G$9</f>
        <v>8</v>
      </c>
      <c r="S479" s="95">
        <f ca="1">IF(AND(H479=H$9,LEN(H479)&gt;1,Q479=1),1,0)</f>
        <v>0</v>
      </c>
      <c r="V479" s="97">
        <f ca="1">VLOOKUP(8,R472:S495,2,0)</f>
        <v>0</v>
      </c>
      <c r="W479" s="95">
        <v>8</v>
      </c>
    </row>
    <row r="480" spans="1:29">
      <c r="A480" s="95">
        <v>9</v>
      </c>
      <c r="B480" s="95">
        <f ca="1">IF(Doubles!D99="",0,Doubles!D99)</f>
        <v>0</v>
      </c>
      <c r="C480" s="99" t="str">
        <f ca="1">IF(OR(LEFT(B480,LEN(B$10))=B$10,LEFT(B480,LEN(C$10))=C$10,LEN(B480)&lt;2),"",IF(B480="no pick","","Wrong pick"))</f>
        <v/>
      </c>
      <c r="E480" s="95">
        <f t="shared" ca="1" si="180"/>
        <v>1</v>
      </c>
      <c r="G480" s="95" t="str">
        <f ca="1">IF(B480=0,"",IF(B480="no pick","No Pick",IF(LEFT(B480,LEN(B$10))=B$10,B$10,C$10)))</f>
        <v/>
      </c>
      <c r="H480" s="95" t="str">
        <f t="shared" ca="1" si="181"/>
        <v>0-0</v>
      </c>
      <c r="J480" s="97">
        <f>D$10</f>
        <v>1</v>
      </c>
      <c r="K480" s="95" t="str">
        <f t="shared" ca="1" si="182"/>
        <v>SR</v>
      </c>
      <c r="L480" s="95" t="str">
        <f t="shared" ca="1" si="183"/>
        <v>0</v>
      </c>
      <c r="M480" s="95" t="str">
        <f t="shared" ca="1" si="184"/>
        <v>0</v>
      </c>
      <c r="N480" s="95" t="str">
        <f t="shared" ca="1" si="185"/>
        <v>0</v>
      </c>
      <c r="O480" s="95" t="str">
        <f t="shared" ca="1" si="186"/>
        <v>0</v>
      </c>
      <c r="P480" s="95" t="str">
        <f t="shared" ca="1" si="187"/>
        <v>0</v>
      </c>
      <c r="Q480" s="95">
        <f ca="1">IF(AND(G480=T$10,LEN(G480)&gt;1),1,0)</f>
        <v>0</v>
      </c>
      <c r="R480" s="97">
        <f>Doubles!G$10</f>
        <v>9</v>
      </c>
      <c r="S480" s="95">
        <f ca="1">IF(AND(H480=H$10,LEN(H480)&gt;1,Q480=1),1,0)</f>
        <v>0</v>
      </c>
      <c r="V480" s="97">
        <f ca="1">VLOOKUP(9,R472:S495,2,0)</f>
        <v>0</v>
      </c>
      <c r="W480" s="95">
        <v>9</v>
      </c>
    </row>
    <row r="481" spans="1:23">
      <c r="A481" s="95">
        <v>10</v>
      </c>
      <c r="B481" s="95">
        <f ca="1">IF(Doubles!D100="",0,Doubles!D100)</f>
        <v>0</v>
      </c>
      <c r="C481" s="99" t="str">
        <f ca="1">IF(OR(LEFT(B481,LEN(B$11))=B$11,LEFT(B481,LEN(C$11))=C$11,LEN(B481)&lt;2),"",IF(B481="no pick","","Wrong pick"))</f>
        <v/>
      </c>
      <c r="E481" s="95">
        <f t="shared" ca="1" si="180"/>
        <v>1</v>
      </c>
      <c r="G481" s="95" t="str">
        <f ca="1">IF(B481=0,"",IF(B481="no pick","No Pick",IF(LEFT(B481,LEN(B$11))=B$11,B$11,C$11)))</f>
        <v/>
      </c>
      <c r="H481" s="95" t="str">
        <f t="shared" ca="1" si="181"/>
        <v>0-0</v>
      </c>
      <c r="J481" s="97">
        <f>D$11</f>
        <v>1</v>
      </c>
      <c r="K481" s="95" t="str">
        <f t="shared" ca="1" si="182"/>
        <v>SR</v>
      </c>
      <c r="L481" s="95" t="str">
        <f t="shared" ca="1" si="183"/>
        <v>0</v>
      </c>
      <c r="M481" s="95" t="str">
        <f t="shared" ca="1" si="184"/>
        <v>0</v>
      </c>
      <c r="N481" s="95" t="str">
        <f t="shared" ca="1" si="185"/>
        <v>0</v>
      </c>
      <c r="O481" s="95" t="str">
        <f t="shared" ca="1" si="186"/>
        <v>0</v>
      </c>
      <c r="P481" s="95" t="str">
        <f t="shared" ca="1" si="187"/>
        <v>0</v>
      </c>
      <c r="Q481" s="95">
        <f ca="1">IF(AND(G481=T$11,LEN(G481)&gt;1),1,0)</f>
        <v>0</v>
      </c>
      <c r="R481" s="97">
        <f>Doubles!G$11</f>
        <v>10</v>
      </c>
      <c r="S481" s="95">
        <f ca="1">IF(AND(H481=H$11,LEN(H481)&gt;1,Q481=1),1,0)</f>
        <v>0</v>
      </c>
      <c r="V481" s="97">
        <f ca="1">VLOOKUP(10,R472:S495,2,0)</f>
        <v>0</v>
      </c>
      <c r="W481" s="95">
        <v>10</v>
      </c>
    </row>
    <row r="482" spans="1:23">
      <c r="A482" s="95">
        <v>11</v>
      </c>
      <c r="B482" s="95">
        <f ca="1">IF(Doubles!D101="",0,Doubles!D101)</f>
        <v>0</v>
      </c>
      <c r="C482" s="99" t="str">
        <f ca="1">IF(OR(LEFT(B482,LEN(B$12))=B$12,LEFT(B482,LEN(C$12))=C$12,LEN(B482)&lt;2),"",IF(B482="no pick","","Wrong pick"))</f>
        <v/>
      </c>
      <c r="E482" s="95">
        <f t="shared" ca="1" si="180"/>
        <v>1</v>
      </c>
      <c r="G482" s="95" t="str">
        <f ca="1">IF(B482=0,"",IF(B482="no pick","No Pick",IF(LEFT(B482,LEN(B$12))=B$12,B$12,C$12)))</f>
        <v/>
      </c>
      <c r="H482" s="95" t="str">
        <f t="shared" ca="1" si="181"/>
        <v>0-0</v>
      </c>
      <c r="J482" s="97">
        <f>D$12</f>
        <v>1</v>
      </c>
      <c r="K482" s="95" t="str">
        <f t="shared" ca="1" si="182"/>
        <v>SR</v>
      </c>
      <c r="L482" s="95" t="str">
        <f t="shared" ca="1" si="183"/>
        <v>0</v>
      </c>
      <c r="M482" s="95" t="str">
        <f t="shared" ca="1" si="184"/>
        <v>0</v>
      </c>
      <c r="N482" s="95" t="str">
        <f t="shared" ca="1" si="185"/>
        <v>0</v>
      </c>
      <c r="O482" s="95" t="str">
        <f t="shared" ca="1" si="186"/>
        <v>0</v>
      </c>
      <c r="P482" s="95" t="str">
        <f t="shared" ca="1" si="187"/>
        <v>0</v>
      </c>
      <c r="Q482" s="95">
        <f ca="1">IF(AND(G482=T$12,LEN(G482)&gt;1),1,0)</f>
        <v>0</v>
      </c>
      <c r="R482" s="97">
        <f>Doubles!G$12</f>
        <v>11</v>
      </c>
      <c r="S482" s="95">
        <f ca="1">IF(AND(H482=H$12,LEN(H482)&gt;1,Q482=1),1,0)</f>
        <v>0</v>
      </c>
      <c r="V482" s="97">
        <f ca="1">VLOOKUP(11,R472:S495,2,0)</f>
        <v>0</v>
      </c>
      <c r="W482" s="95">
        <v>11</v>
      </c>
    </row>
    <row r="483" spans="1:23">
      <c r="A483" s="95">
        <v>12</v>
      </c>
      <c r="B483" s="95">
        <f ca="1">IF(Doubles!D102="",0,Doubles!D102)</f>
        <v>0</v>
      </c>
      <c r="C483" s="99" t="str">
        <f ca="1">IF(OR(LEFT(B483,LEN(B$13))=B$13,LEFT(B483,LEN(C$13))=C$13,LEN(B483)&lt;2),"",IF(B483="no pick","","Wrong pick"))</f>
        <v/>
      </c>
      <c r="E483" s="95">
        <f t="shared" ca="1" si="180"/>
        <v>1</v>
      </c>
      <c r="G483" s="95" t="str">
        <f ca="1">IF(B483=0,"",IF(B483="no pick","No Pick",IF(LEFT(B483,LEN(B$13))=B$13,B$13,C$13)))</f>
        <v/>
      </c>
      <c r="H483" s="95" t="str">
        <f t="shared" ca="1" si="181"/>
        <v>0-0</v>
      </c>
      <c r="J483" s="97">
        <f>D$13</f>
        <v>1</v>
      </c>
      <c r="K483" s="95" t="str">
        <f t="shared" ca="1" si="182"/>
        <v>SR</v>
      </c>
      <c r="L483" s="95" t="str">
        <f t="shared" ca="1" si="183"/>
        <v>0</v>
      </c>
      <c r="M483" s="95" t="str">
        <f t="shared" ca="1" si="184"/>
        <v>0</v>
      </c>
      <c r="N483" s="95" t="str">
        <f t="shared" ca="1" si="185"/>
        <v>0</v>
      </c>
      <c r="O483" s="95" t="str">
        <f t="shared" ca="1" si="186"/>
        <v>0</v>
      </c>
      <c r="P483" s="95" t="str">
        <f t="shared" ca="1" si="187"/>
        <v>0</v>
      </c>
      <c r="Q483" s="95">
        <f ca="1">IF(AND(G483=T$13,LEN(G483)&gt;1),1,0)</f>
        <v>0</v>
      </c>
      <c r="R483" s="97">
        <f>Doubles!G$13</f>
        <v>12</v>
      </c>
      <c r="S483" s="95">
        <f ca="1">IF(AND(H483=H$13,LEN(H483)&gt;1,Q483=1),1,0)</f>
        <v>0</v>
      </c>
      <c r="V483" s="97">
        <f ca="1">VLOOKUP(12,R472:S495,2,0)</f>
        <v>0</v>
      </c>
      <c r="W483" s="95">
        <v>12</v>
      </c>
    </row>
    <row r="484" spans="1:23">
      <c r="A484" s="95">
        <v>13</v>
      </c>
      <c r="B484" s="95">
        <f ca="1">IF(Doubles!D103="",0,Doubles!D103)</f>
        <v>0</v>
      </c>
      <c r="C484" s="99" t="str">
        <f ca="1">IF(OR(LEFT(B484,LEN(B$14))=B$14,LEFT(B484,LEN(C$14))=C$14,LEN(B484)&lt;2),"",IF(B484="no pick","","Wrong pick"))</f>
        <v/>
      </c>
      <c r="E484" s="95">
        <f t="shared" ca="1" si="180"/>
        <v>1</v>
      </c>
      <c r="G484" s="95" t="str">
        <f ca="1">IF(B484=0,"",IF(B484="no pick","No Pick",IF(LEFT(B484,LEN(B$14))=B$14,B$14,C$14)))</f>
        <v/>
      </c>
      <c r="H484" s="95" t="str">
        <f t="shared" ca="1" si="181"/>
        <v>0-0</v>
      </c>
      <c r="J484" s="97">
        <f>D$14</f>
        <v>1</v>
      </c>
      <c r="K484" s="95" t="str">
        <f t="shared" ca="1" si="182"/>
        <v>SR</v>
      </c>
      <c r="L484" s="95" t="str">
        <f t="shared" ca="1" si="183"/>
        <v>0</v>
      </c>
      <c r="M484" s="95" t="str">
        <f t="shared" ca="1" si="184"/>
        <v>0</v>
      </c>
      <c r="N484" s="95" t="str">
        <f t="shared" ca="1" si="185"/>
        <v>0</v>
      </c>
      <c r="O484" s="95" t="str">
        <f t="shared" ca="1" si="186"/>
        <v>0</v>
      </c>
      <c r="P484" s="95" t="str">
        <f t="shared" ca="1" si="187"/>
        <v>0</v>
      </c>
      <c r="Q484" s="95">
        <f ca="1">IF(AND(G484=T$14,LEN(G484)&gt;1),1,0)</f>
        <v>0</v>
      </c>
      <c r="R484" s="97">
        <f>Doubles!G$14</f>
        <v>13</v>
      </c>
      <c r="S484" s="95">
        <f ca="1">IF(AND(H484=H$14,LEN(H484)&gt;1,Q484=1),1,0)</f>
        <v>0</v>
      </c>
      <c r="V484" s="97">
        <f ca="1">VLOOKUP(13,R472:S495,2,0)</f>
        <v>0</v>
      </c>
      <c r="W484" s="95">
        <v>13</v>
      </c>
    </row>
    <row r="485" spans="1:23">
      <c r="A485" s="95">
        <v>14</v>
      </c>
      <c r="B485" s="95">
        <f ca="1">IF(Doubles!D104="",0,Doubles!D104)</f>
        <v>0</v>
      </c>
      <c r="C485" s="99" t="str">
        <f ca="1">IF(OR(LEFT(B485,LEN(B$15))=B$15,LEFT(B485,LEN(C$15))=C$15,LEN(B485)&lt;2),"",IF(B485="no pick","","Wrong pick"))</f>
        <v/>
      </c>
      <c r="E485" s="95">
        <f t="shared" ca="1" si="180"/>
        <v>1</v>
      </c>
      <c r="G485" s="95" t="str">
        <f ca="1">IF(B485=0,"",IF(B485="no pick","No Pick",IF(LEFT(B485,LEN(B$15))=B$15,B$15,C$15)))</f>
        <v/>
      </c>
      <c r="H485" s="95" t="str">
        <f t="shared" ca="1" si="181"/>
        <v>0-0</v>
      </c>
      <c r="J485" s="97">
        <f>D$15</f>
        <v>1</v>
      </c>
      <c r="K485" s="95" t="str">
        <f t="shared" ca="1" si="182"/>
        <v>SR</v>
      </c>
      <c r="L485" s="95" t="str">
        <f t="shared" ca="1" si="183"/>
        <v>0</v>
      </c>
      <c r="M485" s="95" t="str">
        <f t="shared" ca="1" si="184"/>
        <v>0</v>
      </c>
      <c r="N485" s="95" t="str">
        <f t="shared" ca="1" si="185"/>
        <v>0</v>
      </c>
      <c r="O485" s="95" t="str">
        <f t="shared" ca="1" si="186"/>
        <v>0</v>
      </c>
      <c r="P485" s="95" t="str">
        <f t="shared" ca="1" si="187"/>
        <v>0</v>
      </c>
      <c r="Q485" s="95">
        <f ca="1">IF(AND(G485=T$15,LEN(G485)&gt;1),1,0)</f>
        <v>0</v>
      </c>
      <c r="R485" s="97">
        <f>Doubles!G$15</f>
        <v>14</v>
      </c>
      <c r="S485" s="95">
        <f ca="1">IF(AND(H485=H$15,LEN(H485)&gt;1,Q485=1),1,0)</f>
        <v>0</v>
      </c>
      <c r="V485" s="97">
        <f ca="1">VLOOKUP(14,R472:S495,2,0)</f>
        <v>0</v>
      </c>
      <c r="W485" s="95">
        <v>14</v>
      </c>
    </row>
    <row r="486" spans="1:23">
      <c r="A486" s="95">
        <v>15</v>
      </c>
      <c r="B486" s="95">
        <f ca="1">IF(Doubles!D105="",0,Doubles!D105)</f>
        <v>0</v>
      </c>
      <c r="C486" s="99" t="str">
        <f ca="1">IF(OR(LEFT(B486,LEN(B$16))=B$16,LEFT(B486,LEN(C$16))=C$16,LEN(B486)&lt;2),"",IF(B486="no pick","","Wrong pick"))</f>
        <v/>
      </c>
      <c r="E486" s="95">
        <f t="shared" ca="1" si="180"/>
        <v>1</v>
      </c>
      <c r="G486" s="95" t="str">
        <f ca="1">IF(B486=0,"",IF(B486="no pick","No Pick",IF(LEFT(B486,LEN(B$16))=B$16,B$16,C$16)))</f>
        <v/>
      </c>
      <c r="H486" s="95" t="str">
        <f t="shared" ca="1" si="181"/>
        <v>0-0</v>
      </c>
      <c r="J486" s="97">
        <f>D$16</f>
        <v>1</v>
      </c>
      <c r="K486" s="95" t="str">
        <f t="shared" ca="1" si="182"/>
        <v>SR</v>
      </c>
      <c r="L486" s="95" t="str">
        <f t="shared" ca="1" si="183"/>
        <v>0</v>
      </c>
      <c r="M486" s="95" t="str">
        <f t="shared" ca="1" si="184"/>
        <v>0</v>
      </c>
      <c r="N486" s="95" t="str">
        <f t="shared" ca="1" si="185"/>
        <v>0</v>
      </c>
      <c r="O486" s="95" t="str">
        <f t="shared" ca="1" si="186"/>
        <v>0</v>
      </c>
      <c r="P486" s="95" t="str">
        <f t="shared" ca="1" si="187"/>
        <v>0</v>
      </c>
      <c r="Q486" s="95">
        <f ca="1">IF(AND(G486=T$16,LEN(G486)&gt;1),1,0)</f>
        <v>0</v>
      </c>
      <c r="R486" s="97">
        <f>Doubles!G$16</f>
        <v>15</v>
      </c>
      <c r="S486" s="95">
        <f ca="1">IF(AND(H486=H$16,LEN(H486)&gt;1,Q486=1),1,0)</f>
        <v>0</v>
      </c>
      <c r="V486" s="97">
        <f ca="1">VLOOKUP(15,R472:S495,2,0)</f>
        <v>0</v>
      </c>
      <c r="W486" s="95">
        <v>15</v>
      </c>
    </row>
    <row r="487" spans="1:23">
      <c r="A487" s="95">
        <v>16</v>
      </c>
      <c r="B487" s="95">
        <f ca="1">IF(Doubles!D106="",0,Doubles!D106)</f>
        <v>0</v>
      </c>
      <c r="C487" s="99" t="str">
        <f ca="1">IF(OR(LEFT(B487,LEN(B$17))=B$17,LEFT(B487,LEN(C$17))=C$17,LEN(B487)&lt;2),"",IF(B487="no pick","","Wrong pick"))</f>
        <v/>
      </c>
      <c r="E487" s="95">
        <f t="shared" ca="1" si="180"/>
        <v>1</v>
      </c>
      <c r="G487" s="95" t="str">
        <f ca="1">IF(B487=0,"",IF(B487="no pick","No Pick",IF(LEFT(B487,LEN(B$17))=B$17,B$17,C$17)))</f>
        <v/>
      </c>
      <c r="H487" s="95" t="str">
        <f t="shared" ca="1" si="181"/>
        <v>0-0</v>
      </c>
      <c r="J487" s="97">
        <f>D$17</f>
        <v>1</v>
      </c>
      <c r="K487" s="95" t="str">
        <f t="shared" ca="1" si="182"/>
        <v>SR</v>
      </c>
      <c r="L487" s="95" t="str">
        <f t="shared" ca="1" si="183"/>
        <v>0</v>
      </c>
      <c r="M487" s="95" t="str">
        <f t="shared" ca="1" si="184"/>
        <v>0</v>
      </c>
      <c r="N487" s="95" t="str">
        <f t="shared" ca="1" si="185"/>
        <v>0</v>
      </c>
      <c r="O487" s="95" t="str">
        <f t="shared" ca="1" si="186"/>
        <v>0</v>
      </c>
      <c r="P487" s="95" t="str">
        <f t="shared" ca="1" si="187"/>
        <v>0</v>
      </c>
      <c r="Q487" s="95">
        <f ca="1">IF(AND(G487=T$17,LEN(G487)&gt;1),1,0)</f>
        <v>0</v>
      </c>
      <c r="R487" s="97">
        <f>Doubles!G$17</f>
        <v>16</v>
      </c>
      <c r="S487" s="95">
        <f ca="1">IF(AND(H487=H$17,LEN(H487)&gt;1,Q487=1),1,0)</f>
        <v>0</v>
      </c>
      <c r="V487" s="97">
        <f ca="1">VLOOKUP(16,R472:S495,2,0)</f>
        <v>0</v>
      </c>
      <c r="W487" s="95">
        <v>16</v>
      </c>
    </row>
    <row r="488" spans="1:23">
      <c r="A488" s="95">
        <v>17</v>
      </c>
      <c r="B488" s="95">
        <f>IF(Doubles!D107="",0,Doubles!D107)</f>
        <v>0</v>
      </c>
      <c r="C488" s="99" t="str">
        <f>IF(OR(LEFT(B488,LEN(B$18))=B$18,LEFT(B488,LEN(C$18))=C$18,LEN(B488)&lt;2),"",IF(B488="no pick","","Wrong pick"))</f>
        <v/>
      </c>
      <c r="E488" s="95">
        <f t="shared" si="180"/>
        <v>0</v>
      </c>
      <c r="G488" s="95" t="str">
        <f>IF(B488=0,"",IF(B488="no pick","No Pick",IF(LEFT(B488,LEN(B$18))=B$18,B$18,C$18)))</f>
        <v/>
      </c>
      <c r="H488" s="95" t="str">
        <f t="shared" si="181"/>
        <v>0-0</v>
      </c>
      <c r="J488" s="95">
        <f>D$18</f>
        <v>0</v>
      </c>
      <c r="K488" s="95" t="str">
        <f t="shared" si="182"/>
        <v>SR</v>
      </c>
      <c r="L488" s="95" t="str">
        <f t="shared" si="183"/>
        <v>0</v>
      </c>
      <c r="M488" s="95" t="str">
        <f t="shared" si="184"/>
        <v>0</v>
      </c>
      <c r="N488" s="95" t="str">
        <f t="shared" si="185"/>
        <v>0</v>
      </c>
      <c r="O488" s="95" t="str">
        <f t="shared" si="186"/>
        <v>0</v>
      </c>
      <c r="P488" s="95" t="str">
        <f t="shared" si="187"/>
        <v>0</v>
      </c>
      <c r="Q488" s="95">
        <f>IF(AND(G488=T$18,LEN(G488)&gt;1),1,0)</f>
        <v>0</v>
      </c>
      <c r="R488" s="97">
        <f>Doubles!G$18</f>
        <v>17</v>
      </c>
      <c r="S488" s="95">
        <f>IF(AND(H488=H$18,LEN(H488)&gt;1,Q488=1),1,0)</f>
        <v>0</v>
      </c>
      <c r="V488" s="97">
        <f>VLOOKUP(17,R472:S495,2,0)</f>
        <v>0</v>
      </c>
      <c r="W488" s="95">
        <v>17</v>
      </c>
    </row>
    <row r="489" spans="1:23">
      <c r="A489" s="95">
        <v>18</v>
      </c>
      <c r="B489" s="95">
        <f>IF(Doubles!D108="",0,Doubles!D108)</f>
        <v>0</v>
      </c>
      <c r="C489" s="99" t="str">
        <f>IF(OR(LEFT(B489,LEN(B$19))=B$19,LEFT(B489,LEN(C$19))=C$19,LEN(B489)&lt;2),"",IF(B489="no pick","","Wrong pick"))</f>
        <v/>
      </c>
      <c r="E489" s="95">
        <f t="shared" si="180"/>
        <v>0</v>
      </c>
      <c r="G489" s="95" t="str">
        <f>IF(B489=0,"",IF(B489="no pick","No Pick",IF(LEFT(B489,LEN(B$19))=B$19,B$19,C$19)))</f>
        <v/>
      </c>
      <c r="H489" s="95" t="str">
        <f t="shared" si="181"/>
        <v>0-0</v>
      </c>
      <c r="J489" s="95">
        <f>D$19</f>
        <v>0</v>
      </c>
      <c r="K489" s="95" t="str">
        <f t="shared" si="182"/>
        <v>SR</v>
      </c>
      <c r="L489" s="95" t="str">
        <f t="shared" si="183"/>
        <v>0</v>
      </c>
      <c r="M489" s="95" t="str">
        <f t="shared" si="184"/>
        <v>0</v>
      </c>
      <c r="N489" s="95" t="str">
        <f t="shared" si="185"/>
        <v>0</v>
      </c>
      <c r="O489" s="95" t="str">
        <f t="shared" si="186"/>
        <v>0</v>
      </c>
      <c r="P489" s="95" t="str">
        <f t="shared" si="187"/>
        <v>0</v>
      </c>
      <c r="Q489" s="95">
        <f>IF(AND(G489=T$19,LEN(G489)&gt;1),1,0)</f>
        <v>0</v>
      </c>
      <c r="R489" s="97">
        <f>Doubles!G$19</f>
        <v>18</v>
      </c>
      <c r="S489" s="95">
        <f>IF(AND(H489=H$19,LEN(H489)&gt;1,Q489=1),1,0)</f>
        <v>0</v>
      </c>
      <c r="V489" s="97">
        <f>VLOOKUP(18,R472:S495,2,0)</f>
        <v>0</v>
      </c>
      <c r="W489" s="95">
        <v>18</v>
      </c>
    </row>
    <row r="490" spans="1:23">
      <c r="A490" s="95">
        <v>19</v>
      </c>
      <c r="B490" s="95">
        <f>IF(Doubles!D109="",0,Doubles!D109)</f>
        <v>0</v>
      </c>
      <c r="C490" s="99" t="str">
        <f>IF(OR(LEFT(B490,LEN(B$20))=B$20,LEFT(B490,LEN(C$20))=C$20,LEN(B490)&lt;2),"",IF(B490="no pick","","Wrong pick"))</f>
        <v/>
      </c>
      <c r="E490" s="95">
        <f t="shared" si="180"/>
        <v>0</v>
      </c>
      <c r="G490" s="95" t="str">
        <f>IF(B490=0,"",IF(B490="no pick","No Pick",IF(LEFT(B490,LEN(B$20))=B$20,B$20,C$20)))</f>
        <v/>
      </c>
      <c r="H490" s="95" t="str">
        <f t="shared" si="181"/>
        <v>0-0</v>
      </c>
      <c r="J490" s="95">
        <f>D$20</f>
        <v>0</v>
      </c>
      <c r="K490" s="95" t="str">
        <f t="shared" si="182"/>
        <v>SR</v>
      </c>
      <c r="L490" s="95" t="str">
        <f t="shared" si="183"/>
        <v>0</v>
      </c>
      <c r="M490" s="95" t="str">
        <f t="shared" si="184"/>
        <v>0</v>
      </c>
      <c r="N490" s="95" t="str">
        <f t="shared" si="185"/>
        <v>0</v>
      </c>
      <c r="O490" s="95" t="str">
        <f t="shared" si="186"/>
        <v>0</v>
      </c>
      <c r="P490" s="95" t="str">
        <f t="shared" si="187"/>
        <v>0</v>
      </c>
      <c r="Q490" s="95">
        <f>IF(AND(G490=T$20,LEN(G490)&gt;1),1,0)</f>
        <v>0</v>
      </c>
      <c r="R490" s="97">
        <f>Doubles!G$20</f>
        <v>19</v>
      </c>
      <c r="S490" s="95">
        <f>IF(AND(H490=H$20,LEN(H490)&gt;1,Q490=1),1,0)</f>
        <v>0</v>
      </c>
      <c r="V490" s="97">
        <f>VLOOKUP(19,R472:S495,2,0)</f>
        <v>0</v>
      </c>
      <c r="W490" s="95">
        <v>19</v>
      </c>
    </row>
    <row r="491" spans="1:23">
      <c r="A491" s="95">
        <v>20</v>
      </c>
      <c r="B491" s="95">
        <f>IF(Doubles!D110="",0,Doubles!D110)</f>
        <v>0</v>
      </c>
      <c r="C491" s="99" t="str">
        <f>IF(OR(LEFT(B491,LEN(B$21))=B$21,LEFT(B491,LEN(C$21))=C$21,LEN(B491)&lt;2),"",IF(B491="no pick","","Wrong pick"))</f>
        <v/>
      </c>
      <c r="E491" s="95">
        <f t="shared" si="180"/>
        <v>0</v>
      </c>
      <c r="G491" s="95" t="str">
        <f>IF(B491=0,"",IF(B491="no pick","No Pick",IF(LEFT(B491,LEN(B$21))=B$21,B$21,C$21)))</f>
        <v/>
      </c>
      <c r="H491" s="95" t="str">
        <f t="shared" si="181"/>
        <v>0-0</v>
      </c>
      <c r="J491" s="95">
        <f>D$21</f>
        <v>0</v>
      </c>
      <c r="K491" s="95" t="str">
        <f t="shared" si="182"/>
        <v>SR</v>
      </c>
      <c r="L491" s="95" t="str">
        <f t="shared" si="183"/>
        <v>0</v>
      </c>
      <c r="M491" s="95" t="str">
        <f t="shared" si="184"/>
        <v>0</v>
      </c>
      <c r="N491" s="95" t="str">
        <f t="shared" si="185"/>
        <v>0</v>
      </c>
      <c r="O491" s="95" t="str">
        <f t="shared" si="186"/>
        <v>0</v>
      </c>
      <c r="P491" s="95" t="str">
        <f t="shared" si="187"/>
        <v>0</v>
      </c>
      <c r="Q491" s="95">
        <f>IF(AND(G491=T$21,LEN(G491)&gt;1),1,0)</f>
        <v>0</v>
      </c>
      <c r="R491" s="97">
        <f>Doubles!G$21</f>
        <v>20</v>
      </c>
      <c r="S491" s="95">
        <f>IF(AND(H491=H$21,LEN(H491)&gt;1,Q491=1),1,0)</f>
        <v>0</v>
      </c>
      <c r="V491" s="97">
        <f>VLOOKUP(20,R472:S495,2,0)</f>
        <v>0</v>
      </c>
      <c r="W491" s="95">
        <v>20</v>
      </c>
    </row>
    <row r="492" spans="1:23">
      <c r="A492" s="95">
        <v>21</v>
      </c>
      <c r="B492" s="95">
        <f>IF(Doubles!D111="",0,Doubles!D111)</f>
        <v>0</v>
      </c>
      <c r="C492" s="99" t="str">
        <f>IF(OR(LEFT(B492,LEN(B$22))=B$22,LEFT(B492,LEN(C$22))=C$22,LEN(B492)&lt;2),"",IF(B492="no pick","","Wrong pick"))</f>
        <v/>
      </c>
      <c r="E492" s="95">
        <f t="shared" si="180"/>
        <v>0</v>
      </c>
      <c r="G492" s="95" t="str">
        <f>IF(B492=0,"",IF(B492="no pick","No Pick",IF(LEFT(B492,LEN(B$22))=B$22,B$22,C$22)))</f>
        <v/>
      </c>
      <c r="H492" s="95" t="str">
        <f t="shared" si="181"/>
        <v>0-0</v>
      </c>
      <c r="J492" s="95">
        <f>D$22</f>
        <v>0</v>
      </c>
      <c r="K492" s="95" t="str">
        <f t="shared" si="182"/>
        <v>SR</v>
      </c>
      <c r="L492" s="95" t="str">
        <f t="shared" si="183"/>
        <v>0</v>
      </c>
      <c r="M492" s="95" t="str">
        <f t="shared" si="184"/>
        <v>0</v>
      </c>
      <c r="N492" s="95" t="str">
        <f t="shared" si="185"/>
        <v>0</v>
      </c>
      <c r="O492" s="95" t="str">
        <f t="shared" si="186"/>
        <v>0</v>
      </c>
      <c r="P492" s="95" t="str">
        <f t="shared" si="187"/>
        <v>0</v>
      </c>
      <c r="Q492" s="95">
        <f>IF(AND(G492=T$22,LEN(G492)&gt;1),1,0)</f>
        <v>0</v>
      </c>
      <c r="R492" s="97">
        <f>Doubles!G$22</f>
        <v>21</v>
      </c>
      <c r="S492" s="95">
        <f>IF(AND(H492=H$22,LEN(H492)&gt;1,Q492=1),1,0)</f>
        <v>0</v>
      </c>
      <c r="V492" s="97">
        <f>VLOOKUP(21,R472:S495,2,0)</f>
        <v>0</v>
      </c>
      <c r="W492" s="95">
        <v>21</v>
      </c>
    </row>
    <row r="493" spans="1:23">
      <c r="A493" s="95">
        <v>22</v>
      </c>
      <c r="B493" s="95">
        <f>IF(Doubles!D112="",0,Doubles!D112)</f>
        <v>0</v>
      </c>
      <c r="C493" s="99" t="str">
        <f>IF(OR(LEFT(B493,LEN(B$23))=B$23,LEFT(B493,LEN(C$23))=C$23,LEN(B493)&lt;2),"",IF(B493="no pick","","Wrong pick"))</f>
        <v/>
      </c>
      <c r="E493" s="95">
        <f t="shared" si="180"/>
        <v>0</v>
      </c>
      <c r="G493" s="95" t="str">
        <f>IF(B493=0,"",IF(B493="no pick","No Pick",IF(LEFT(B493,LEN(B$23))=B$23,B$23,C$23)))</f>
        <v/>
      </c>
      <c r="H493" s="95" t="str">
        <f t="shared" si="181"/>
        <v>0-0</v>
      </c>
      <c r="J493" s="95">
        <f>D$23</f>
        <v>0</v>
      </c>
      <c r="K493" s="95" t="str">
        <f t="shared" si="182"/>
        <v>SR</v>
      </c>
      <c r="L493" s="95" t="str">
        <f t="shared" si="183"/>
        <v>0</v>
      </c>
      <c r="M493" s="95" t="str">
        <f t="shared" si="184"/>
        <v>0</v>
      </c>
      <c r="N493" s="95" t="str">
        <f t="shared" si="185"/>
        <v>0</v>
      </c>
      <c r="O493" s="95" t="str">
        <f t="shared" si="186"/>
        <v>0</v>
      </c>
      <c r="P493" s="95" t="str">
        <f t="shared" si="187"/>
        <v>0</v>
      </c>
      <c r="Q493" s="95">
        <f>IF(AND(G493=T$23,LEN(G493)&gt;1),1,0)</f>
        <v>0</v>
      </c>
      <c r="R493" s="97">
        <f>Doubles!G$23</f>
        <v>22</v>
      </c>
      <c r="S493" s="95">
        <f>IF(AND(H493=H$23,LEN(H493)&gt;1,Q493=1),1,0)</f>
        <v>0</v>
      </c>
      <c r="V493" s="97">
        <f>VLOOKUP(22,R472:S495,2,0)</f>
        <v>0</v>
      </c>
      <c r="W493" s="95">
        <v>22</v>
      </c>
    </row>
    <row r="494" spans="1:23">
      <c r="A494" s="95">
        <v>23</v>
      </c>
      <c r="B494" s="95">
        <f>IF(Doubles!D113="",0,Doubles!D113)</f>
        <v>0</v>
      </c>
      <c r="C494" s="99" t="str">
        <f>IF(OR(LEFT(B494,LEN(B$24))=B$24,LEFT(B494,LEN(C$24))=C$24,LEN(B494)&lt;2),"",IF(B494="no pick","","Wrong pick"))</f>
        <v/>
      </c>
      <c r="E494" s="95">
        <f t="shared" si="180"/>
        <v>0</v>
      </c>
      <c r="G494" s="95" t="str">
        <f>IF(B494=0,"",IF(B494="no pick","No Pick",IF(LEFT(B494,LEN(B$24))=B$24,B$24,C$24)))</f>
        <v/>
      </c>
      <c r="H494" s="95" t="str">
        <f t="shared" si="181"/>
        <v>0-0</v>
      </c>
      <c r="J494" s="95">
        <f>D$24</f>
        <v>0</v>
      </c>
      <c r="K494" s="95" t="str">
        <f t="shared" si="182"/>
        <v>SR</v>
      </c>
      <c r="L494" s="95" t="str">
        <f t="shared" si="183"/>
        <v>0</v>
      </c>
      <c r="M494" s="95" t="str">
        <f t="shared" si="184"/>
        <v>0</v>
      </c>
      <c r="N494" s="95" t="str">
        <f t="shared" si="185"/>
        <v>0</v>
      </c>
      <c r="O494" s="95" t="str">
        <f t="shared" si="186"/>
        <v>0</v>
      </c>
      <c r="P494" s="95" t="str">
        <f t="shared" si="187"/>
        <v>0</v>
      </c>
      <c r="Q494" s="95">
        <f>IF(AND(G494=T$24,LEN(G494)&gt;1),1,0)</f>
        <v>0</v>
      </c>
      <c r="R494" s="97">
        <f>Doubles!G$24</f>
        <v>23</v>
      </c>
      <c r="S494" s="95">
        <f>IF(AND(H494=H$24,LEN(H494)&gt;1,Q494=1),1,0)</f>
        <v>0</v>
      </c>
      <c r="V494" s="97">
        <f>VLOOKUP(23,R472:S495,2,0)</f>
        <v>0</v>
      </c>
      <c r="W494" s="95">
        <v>23</v>
      </c>
    </row>
    <row r="495" spans="1:23">
      <c r="A495" s="95">
        <v>24</v>
      </c>
      <c r="B495" s="95">
        <f>IF(Doubles!D114="",0,Doubles!D114)</f>
        <v>0</v>
      </c>
      <c r="C495" s="99" t="str">
        <f>IF(OR(LEFT(B495,LEN(B$25))=B$25,LEFT(B495,LEN(C$25))=C$25,LEN(B495)&lt;2),"",IF(B495="no pick","","Wrong pick"))</f>
        <v/>
      </c>
      <c r="E495" s="95">
        <f t="shared" si="180"/>
        <v>0</v>
      </c>
      <c r="G495" s="95" t="str">
        <f>IF(B495=0,"",IF(B495="no pick","No Pick",IF(LEFT(B495,LEN(B$25))=B$25,B$25,C$25)))</f>
        <v/>
      </c>
      <c r="H495" s="95" t="str">
        <f t="shared" si="181"/>
        <v>0-0</v>
      </c>
      <c r="J495" s="95">
        <f>D$25</f>
        <v>0</v>
      </c>
      <c r="K495" s="95" t="str">
        <f t="shared" si="182"/>
        <v>SR</v>
      </c>
      <c r="L495" s="95" t="str">
        <f t="shared" si="183"/>
        <v>0</v>
      </c>
      <c r="M495" s="95" t="str">
        <f t="shared" si="184"/>
        <v>0</v>
      </c>
      <c r="N495" s="95" t="str">
        <f t="shared" si="185"/>
        <v>0</v>
      </c>
      <c r="O495" s="95" t="str">
        <f t="shared" si="186"/>
        <v>0</v>
      </c>
      <c r="P495" s="95" t="str">
        <f t="shared" si="187"/>
        <v>0</v>
      </c>
      <c r="Q495" s="95">
        <f>IF(AND(G495=T$25,LEN(G495)&gt;1),1,0)</f>
        <v>0</v>
      </c>
      <c r="R495" s="97">
        <f>Doubles!G$25</f>
        <v>24</v>
      </c>
      <c r="S495" s="95">
        <f>IF(AND(H495=H$25,LEN(H495)&gt;1,Q495=1),1,0)</f>
        <v>0</v>
      </c>
      <c r="V495" s="97">
        <f>VLOOKUP(24,R472:S495,2,0)</f>
        <v>0</v>
      </c>
      <c r="W495" s="95">
        <v>24</v>
      </c>
    </row>
    <row r="496" spans="1:23">
      <c r="L496" s="98" t="s">
        <v>120</v>
      </c>
      <c r="W496" s="95">
        <v>25</v>
      </c>
    </row>
    <row r="497" spans="1:29">
      <c r="A497" s="95" t="e">
        <f>IF(LEN(VLOOKUP(B497,Doubles!$B$2:$D$17,3,0))&gt;0,VLOOKUP(B497,Doubles!$B$2:$D$17,3,0),"")</f>
        <v>#N/A</v>
      </c>
      <c r="B497" s="96">
        <f>Doubles!C90</f>
        <v>0</v>
      </c>
      <c r="C497" s="96">
        <v>3</v>
      </c>
      <c r="D497" s="95" t="e">
        <f>VLOOKUP(B497,Doubles!$B$2:$F$17,5,0)</f>
        <v>#N/A</v>
      </c>
      <c r="J497" s="95" t="s">
        <v>88</v>
      </c>
      <c r="Q497" s="95" t="s">
        <v>121</v>
      </c>
      <c r="S497" s="95" t="s">
        <v>122</v>
      </c>
      <c r="T497" s="95">
        <f>B497</f>
        <v>0</v>
      </c>
      <c r="V497" s="95" t="s">
        <v>122</v>
      </c>
    </row>
    <row r="498" spans="1:29">
      <c r="A498" s="95">
        <v>1</v>
      </c>
      <c r="B498" s="95">
        <f ca="1">IF(Doubles!C91="",0,Doubles!C91)</f>
        <v>0</v>
      </c>
      <c r="C498" s="99" t="str">
        <f ca="1">IF(OR(LEFT(B498,LEN(B$2))=B$2,LEFT(B498,LEN(C$2))=C$2,LEN(B498)&lt;2),"",IF(B498="no pick","","Wrong pick"))</f>
        <v/>
      </c>
      <c r="D498" s="95">
        <f t="shared" ref="D498:D521" ca="1" si="188">IF(G498=G524,0,1)</f>
        <v>0</v>
      </c>
      <c r="E498" s="95">
        <f t="shared" ref="E498:E521" ca="1" si="189">IF(AND($I$2=J498,B498=0),1,0)</f>
        <v>1</v>
      </c>
      <c r="F498" s="95" t="str">
        <f ca="1">IF(AND(SUM(E498:E521)=$I$4,NOT(B497="Bye")),"Missing picks from "&amp;B497&amp;" ","")</f>
        <v xml:space="preserve">Missing picks from 0 </v>
      </c>
      <c r="G498" s="95" t="str">
        <f ca="1">IF(B498=0,"",IF(B498="no pick","No Pick",IF(LEFT(B498,LEN(B$2))=B$2,B$2,C$2)))</f>
        <v/>
      </c>
      <c r="H498" s="95" t="str">
        <f t="shared" ref="H498:H521" ca="1" si="190">IF(L498="","",IF(K498="PTS",IF(LEN(O498)&lt;8,"2-0","2-1"),LEFT(O498,1)&amp;"-"&amp;RIGHT(O498,1)))</f>
        <v>0-0</v>
      </c>
      <c r="I498" s="95" t="str">
        <f>IF(AND(J498=$I$2,F$2=0,NOT(E$2="")),IF(OR(AND(Y498=AA498,Z498=AB498),AND(Y498=AB498,Z498=AA498)),"",IF(AND(Y498=Z498,AA498=AB498),Y498&amp;" +2 v. "&amp;AA498&amp;" +2, ",IF(Y498=AA498,Z498&amp;" v. "&amp;AB498&amp;", ",IF(Z498=AB498,Y498&amp;" v. "&amp;AA498&amp;", ",IF(Y498=AB498,Z498&amp;" v. "&amp;AA498&amp;", ",IF(Z498=AA498,Y498&amp;" v. "&amp;AB498&amp;", ",Y498&amp;" v. "&amp;AA498&amp;", "&amp;Z498&amp;" v. "&amp;AB498&amp;", ")))))),"")</f>
        <v/>
      </c>
      <c r="J498" s="97">
        <f>D$2</f>
        <v>1</v>
      </c>
      <c r="K498" s="95" t="str">
        <f t="shared" ref="K498:K521" ca="1" si="191">IF(LEN(L498)&gt;0,IF(LEN(O498)&lt;4,"SR","PTS"),"")</f>
        <v>SR</v>
      </c>
      <c r="L498" s="95" t="str">
        <f t="shared" ref="L498:L521" ca="1" si="192">TRIM(RIGHT(B498,LEN(B498)-LEN(G498)))</f>
        <v>0</v>
      </c>
      <c r="M498" s="95" t="str">
        <f t="shared" ref="M498:M521" ca="1" si="193">SUBSTITUTE(L498,"-","")</f>
        <v>0</v>
      </c>
      <c r="N498" s="95" t="str">
        <f t="shared" ref="N498:N521" ca="1" si="194">SUBSTITUTE(M498,","," ")</f>
        <v>0</v>
      </c>
      <c r="O498" s="95" t="str">
        <f t="shared" ref="O498:O521" ca="1" si="195">IF(AND(LEN(TRIM(SUBSTITUTE(P498,"/","")))&gt;6,OR(LEFT(TRIM(SUBSTITUTE(P498,"/","")),2)="20",LEFT(TRIM(SUBSTITUTE(P498,"/","")),2)="21")),RIGHT(TRIM(SUBSTITUTE(P498,"/","")),LEN(TRIM(SUBSTITUTE(P498,"/","")))-3),TRIM(SUBSTITUTE(P498,"/","")))</f>
        <v>0</v>
      </c>
      <c r="P498" s="95" t="str">
        <f t="shared" ref="P498:P521" ca="1" si="196">SUBSTITUTE(N498,":","")</f>
        <v>0</v>
      </c>
      <c r="Q498" s="95">
        <f ca="1">IF(AND(G498=T$2,LEN(G498)&gt;1),1,0)</f>
        <v>0</v>
      </c>
      <c r="R498" s="97">
        <f>Doubles!G$2</f>
        <v>1</v>
      </c>
      <c r="S498" s="95">
        <f ca="1">IF(AND(H498=H$2,LEN(H498)&gt;1,Q498=1),1,0)</f>
        <v>0</v>
      </c>
      <c r="T498" s="95" t="str">
        <f>" SR Differences: "&amp;IF(LEN(I498&amp;I499&amp;I500&amp;I501&amp;I502&amp;I503&amp;I504&amp;I505&amp;I506&amp;I507&amp;I508&amp;I509&amp;I510&amp;I511&amp;I512&amp;I513)&lt;3,"None..",I498&amp;I499&amp;I500&amp;I501&amp;I502&amp;I503&amp;I504&amp;I505&amp;I506&amp;I507&amp;I508&amp;I509&amp;I510&amp;I511&amp;I512&amp;I513)</f>
        <v xml:space="preserve"> SR Differences: None..</v>
      </c>
      <c r="V498" s="97">
        <f ca="1">VLOOKUP(1,R498:S521,2,0)</f>
        <v>0</v>
      </c>
      <c r="W498" s="95" t="str">
        <f t="shared" ref="W498:W521" ca="1" si="197">IF(J446=$I$2,IF(OR(G446&amp;G498=G472&amp;G524,G446&amp;G498=G524&amp;G472),"",IF(G472=G524,G472,IF(OR(G446=G472,G472=G498),G524,IF(OR(G524=G446,G498=G524),G472,G472&amp;", "&amp;G524)))),"")</f>
        <v/>
      </c>
      <c r="X498" s="95">
        <f ca="1">IF(F$2=0,IF(AND(G472=G524,NOT(G446=G472),NOT(G498=G524),LEN(W446)&gt;0),2,IF(LEN(W446)=0,0,1)),0)</f>
        <v>0</v>
      </c>
      <c r="AC498" s="95" t="str">
        <f ca="1">IF(AND(LEN(W498)&gt;0,F$2=0),IF(X498=2,W498&amp;" +2, ",W498&amp;", "),"")</f>
        <v/>
      </c>
    </row>
    <row r="499" spans="1:29">
      <c r="A499" s="95">
        <v>2</v>
      </c>
      <c r="B499" s="95">
        <f ca="1">IF(Doubles!C92="",0,Doubles!C92)</f>
        <v>0</v>
      </c>
      <c r="C499" s="99" t="str">
        <f ca="1">IF(OR(LEFT(B499,LEN(B$3))=B$3,LEFT(B499,LEN(C$3))=C$3,LEN(B499)&lt;2),"",IF(B499="no pick","","Wrong pick"))</f>
        <v/>
      </c>
      <c r="D499" s="95">
        <f t="shared" ca="1" si="188"/>
        <v>0</v>
      </c>
      <c r="E499" s="95">
        <f t="shared" ca="1" si="189"/>
        <v>1</v>
      </c>
      <c r="G499" s="95" t="str">
        <f ca="1">IF(B499=0,"",IF(B499="no pick","No Pick",IF(LEFT(B499,LEN(B$3))=B$3,B$3,C$3)))</f>
        <v/>
      </c>
      <c r="H499" s="95" t="str">
        <f t="shared" ca="1" si="190"/>
        <v>0-0</v>
      </c>
      <c r="I499" s="95" t="str">
        <f>IF(AND(J499=$I$2,F$3=0,NOT(E$3="")),IF(OR(AND(Y499=AA499,Z499=AB499),AND(Y499=AB499,Z499=AA499)),"",IF(AND(Y499=Z499,AA499=AB499),Y499&amp;" +2 v. "&amp;AA499&amp;" +2, ",IF(Y499=AA499,Z499&amp;" v. "&amp;AB499&amp;", ",IF(Z499=AB499,Y499&amp;" v. "&amp;AA499&amp;", ",IF(Y499=AB499,Z499&amp;" v. "&amp;AA499&amp;", ",IF(Z499=AA499,Y499&amp;" v. "&amp;AB499&amp;", ",Y499&amp;" v. "&amp;AA499&amp;", "&amp;Z499&amp;" v. "&amp;AB499&amp;", ")))))),"")</f>
        <v/>
      </c>
      <c r="J499" s="97">
        <f>D$3</f>
        <v>1</v>
      </c>
      <c r="K499" s="95" t="str">
        <f t="shared" ca="1" si="191"/>
        <v>SR</v>
      </c>
      <c r="L499" s="95" t="str">
        <f t="shared" ca="1" si="192"/>
        <v>0</v>
      </c>
      <c r="M499" s="95" t="str">
        <f t="shared" ca="1" si="193"/>
        <v>0</v>
      </c>
      <c r="N499" s="95" t="str">
        <f t="shared" ca="1" si="194"/>
        <v>0</v>
      </c>
      <c r="O499" s="95" t="str">
        <f t="shared" ca="1" si="195"/>
        <v>0</v>
      </c>
      <c r="P499" s="95" t="str">
        <f t="shared" ca="1" si="196"/>
        <v>0</v>
      </c>
      <c r="Q499" s="95">
        <f ca="1">IF(AND(G499=T$3,LEN(G499)&gt;1),1,0)</f>
        <v>0</v>
      </c>
      <c r="R499" s="97">
        <f>Doubles!G$3</f>
        <v>2</v>
      </c>
      <c r="S499" s="95">
        <f ca="1">IF(AND(H499=H$3,LEN(H499)&gt;1,Q499=1),1,0)</f>
        <v>0</v>
      </c>
      <c r="T499" s="95" t="str">
        <f ca="1">IF(T500&gt;0,LEFT(E498,LEN(E498)-2)&amp;" vs. "&amp;LEFT(E524,LEN(E524)-2),"Same winners;")</f>
        <v>Same winners;</v>
      </c>
      <c r="V499" s="97">
        <f ca="1">VLOOKUP(2,R498:S521,2,0)</f>
        <v>0</v>
      </c>
      <c r="W499" s="95" t="str">
        <f t="shared" ca="1" si="197"/>
        <v/>
      </c>
      <c r="X499" s="95">
        <f ca="1">IF(F$3=0,IF(AND(G473=G525,NOT(G447=G473),NOT(G499=G525),LEN(W447)&gt;0),2,IF(LEN(W447)=0,0,1)),0)</f>
        <v>0</v>
      </c>
      <c r="AC499" s="95" t="str">
        <f ca="1">IF(AND(LEN(W499)&gt;0,F$3=0),IF(X499=2,W499&amp;" +2, ",W499&amp;", "),"")</f>
        <v/>
      </c>
    </row>
    <row r="500" spans="1:29">
      <c r="A500" s="95">
        <v>3</v>
      </c>
      <c r="B500" s="95">
        <f ca="1">IF(Doubles!C93="",0,Doubles!C93)</f>
        <v>0</v>
      </c>
      <c r="C500" s="99" t="str">
        <f ca="1">IF(OR(LEFT(B500,LEN(B$4))=B$4,LEFT(B500,LEN(C$4))=C$4,LEN(B500)&lt;2),"",IF(B500="no pick","","Wrong pick"))</f>
        <v/>
      </c>
      <c r="D500" s="95">
        <f t="shared" ca="1" si="188"/>
        <v>0</v>
      </c>
      <c r="E500" s="95">
        <f t="shared" ca="1" si="189"/>
        <v>1</v>
      </c>
      <c r="G500" s="95" t="str">
        <f ca="1">IF(B500=0,"",IF(B500="no pick","No Pick",IF(LEFT(B500,LEN(B$4))=B$4,B$4,C$4)))</f>
        <v/>
      </c>
      <c r="H500" s="95" t="str">
        <f t="shared" ca="1" si="190"/>
        <v>0-0</v>
      </c>
      <c r="I500" s="95" t="str">
        <f>IF(AND(J500=$I$2,F$4=0,NOT(E$4="")),IF(OR(AND(Y500=AA500,Z500=AB500),AND(Y500=AB500,Z500=AA500)),"",IF(AND(Y500=Z500,AA500=AB500),Y500&amp;" +2 v. "&amp;AA500&amp;" +2, ",IF(Y500=AA500,Z500&amp;" v. "&amp;AB500&amp;", ",IF(Z500=AB500,Y500&amp;" v. "&amp;AA500&amp;", ",IF(Y500=AB500,Z500&amp;" v. "&amp;AA500&amp;", ",IF(Z500=AA500,Y500&amp;" v. "&amp;AB500&amp;", ",Y500&amp;" v. "&amp;AA500&amp;", "&amp;Z500&amp;" v. "&amp;AB500&amp;", ")))))),"")</f>
        <v/>
      </c>
      <c r="J500" s="97">
        <f>D$4</f>
        <v>1</v>
      </c>
      <c r="K500" s="95" t="str">
        <f t="shared" ca="1" si="191"/>
        <v>SR</v>
      </c>
      <c r="L500" s="95" t="str">
        <f t="shared" ca="1" si="192"/>
        <v>0</v>
      </c>
      <c r="M500" s="95" t="str">
        <f t="shared" ca="1" si="193"/>
        <v>0</v>
      </c>
      <c r="N500" s="95" t="str">
        <f t="shared" ca="1" si="194"/>
        <v>0</v>
      </c>
      <c r="O500" s="95" t="str">
        <f t="shared" ca="1" si="195"/>
        <v>0</v>
      </c>
      <c r="P500" s="95" t="str">
        <f t="shared" ca="1" si="196"/>
        <v>0</v>
      </c>
      <c r="Q500" s="95">
        <f ca="1">IF(AND(G500=T$4,LEN(G500)&gt;1),1,0)</f>
        <v>0</v>
      </c>
      <c r="R500" s="97">
        <f>Doubles!G$4</f>
        <v>3</v>
      </c>
      <c r="S500" s="95">
        <f ca="1">IF(AND(H500=H$4,LEN(H500)&gt;1,Q500=1),1,0)</f>
        <v>0</v>
      </c>
      <c r="T500" s="101">
        <f ca="1">SUMIF(J498:J513,$I$2,D498:D513)</f>
        <v>0</v>
      </c>
      <c r="V500" s="97">
        <f ca="1">VLOOKUP(3,R498:S521,2,0)</f>
        <v>0</v>
      </c>
      <c r="W500" s="95" t="str">
        <f t="shared" ca="1" si="197"/>
        <v/>
      </c>
      <c r="X500" s="95">
        <f ca="1">IF(F$4=0,IF(AND(G474=G526,NOT(G448=G474),NOT(G500=G526),LEN(W448)&gt;0),2,IF(LEN(W448)=0,0,1)),0)</f>
        <v>0</v>
      </c>
      <c r="AC500" s="95" t="str">
        <f ca="1">IF(AND(LEN(W500)&gt;0,F$4=0),IF(X500=2,W500&amp;" +2, ",W500&amp;", "),"")</f>
        <v/>
      </c>
    </row>
    <row r="501" spans="1:29">
      <c r="A501" s="95">
        <v>4</v>
      </c>
      <c r="B501" s="95">
        <f ca="1">IF(Doubles!C94="",0,Doubles!C94)</f>
        <v>0</v>
      </c>
      <c r="C501" s="99" t="str">
        <f ca="1">IF(OR(LEFT(B501,LEN(B$5))=B$5,LEFT(B501,LEN(C$5))=C$5,LEN(B501)&lt;2),"",IF(B501="no pick","","Wrong pick"))</f>
        <v/>
      </c>
      <c r="D501" s="95">
        <f t="shared" ca="1" si="188"/>
        <v>0</v>
      </c>
      <c r="E501" s="95">
        <f t="shared" ca="1" si="189"/>
        <v>1</v>
      </c>
      <c r="G501" s="95" t="str">
        <f ca="1">IF(B501=0,"",IF(B501="no pick","No Pick",IF(LEFT(B501,LEN(B$5))=B$5,B$5,C$5)))</f>
        <v/>
      </c>
      <c r="H501" s="95" t="str">
        <f t="shared" ca="1" si="190"/>
        <v>0-0</v>
      </c>
      <c r="I501" s="95" t="str">
        <f>IF(AND(J501=$I$2,F$5=0,NOT(E$5="")),IF(OR(AND(Y501=AA501,Z501=AB501),AND(Y501=AB501,Z501=AA501)),"",IF(AND(Y501=Z501,AA501=AB501),Y501&amp;" +2 v. "&amp;AA501&amp;" +2, ",IF(Y501=AA501,Z501&amp;" v. "&amp;AB501&amp;", ",IF(Z501=AB501,Y501&amp;" v. "&amp;AA501&amp;", ",IF(Y501=AB501,Z501&amp;" v. "&amp;AA501&amp;", ",IF(Z501=AA501,Y501&amp;" v. "&amp;AB501&amp;", ",Y501&amp;" v. "&amp;AA501&amp;", "&amp;Z501&amp;" v. "&amp;AB501&amp;", ")))))),"")</f>
        <v/>
      </c>
      <c r="J501" s="97">
        <f>D$5</f>
        <v>1</v>
      </c>
      <c r="K501" s="95" t="str">
        <f t="shared" ca="1" si="191"/>
        <v>SR</v>
      </c>
      <c r="L501" s="95" t="str">
        <f t="shared" ca="1" si="192"/>
        <v>0</v>
      </c>
      <c r="M501" s="95" t="str">
        <f t="shared" ca="1" si="193"/>
        <v>0</v>
      </c>
      <c r="N501" s="95" t="str">
        <f t="shared" ca="1" si="194"/>
        <v>0</v>
      </c>
      <c r="O501" s="95" t="str">
        <f t="shared" ca="1" si="195"/>
        <v>0</v>
      </c>
      <c r="P501" s="95" t="str">
        <f t="shared" ca="1" si="196"/>
        <v>0</v>
      </c>
      <c r="Q501" s="95">
        <f ca="1">IF(AND(G501=T$5,LEN(G501)&gt;1),1,0)</f>
        <v>0</v>
      </c>
      <c r="R501" s="97">
        <f>Doubles!G$5</f>
        <v>4</v>
      </c>
      <c r="S501" s="95">
        <f ca="1">IF(AND(H501=H$5,LEN(H501)&gt;1,Q501=1),1,0)</f>
        <v>0</v>
      </c>
      <c r="U501" s="95" t="str">
        <f ca="1">AC446&amp;AC447&amp;AC448&amp;AC449&amp;AC450&amp;AC451&amp;AC452&amp;AC453&amp;AC454&amp;AC455&amp;AC456&amp;AC457&amp;AC458&amp;AC459&amp;AC460&amp;AC461&amp;AC462&amp;AC463&amp;AC464&amp;AC465&amp;AC466&amp;AC467&amp;AC468&amp;AC469</f>
        <v/>
      </c>
      <c r="V501" s="97">
        <f ca="1">VLOOKUP(4,R498:S521,2,0)</f>
        <v>0</v>
      </c>
      <c r="W501" s="95" t="str">
        <f t="shared" ca="1" si="197"/>
        <v/>
      </c>
      <c r="X501" s="95">
        <f ca="1">IF(F$5=0,IF(AND(G475=G527,NOT(G449=G475),NOT(G501=G527),LEN(W449)&gt;0),2,IF(LEN(W449)=0,0,1)),0)</f>
        <v>0</v>
      </c>
      <c r="AC501" s="95" t="str">
        <f ca="1">IF(AND(LEN(W501)&gt;0,F$5=0),IF(X501=2,W501&amp;" +2, ",W501&amp;", "),"")</f>
        <v/>
      </c>
    </row>
    <row r="502" spans="1:29">
      <c r="A502" s="95">
        <v>5</v>
      </c>
      <c r="B502" s="95">
        <f ca="1">IF(Doubles!C95="",0,Doubles!C95)</f>
        <v>0</v>
      </c>
      <c r="C502" s="99" t="str">
        <f ca="1">IF(OR(LEFT(B502,LEN(B$6))=B$6,LEFT(B502,LEN(C$6))=C$6,LEN(B502)&lt;2),"",IF(B502="no pick","","Wrong pick"))</f>
        <v/>
      </c>
      <c r="D502" s="95">
        <f t="shared" ca="1" si="188"/>
        <v>0</v>
      </c>
      <c r="E502" s="95">
        <f t="shared" ca="1" si="189"/>
        <v>1</v>
      </c>
      <c r="G502" s="95" t="str">
        <f ca="1">IF(B502=0,"",IF(B502="no pick","No Pick",IF(LEFT(B502,LEN(B$6))=B$6,B$6,C$6)))</f>
        <v/>
      </c>
      <c r="H502" s="95" t="str">
        <f t="shared" ca="1" si="190"/>
        <v>0-0</v>
      </c>
      <c r="I502" s="95" t="str">
        <f>IF(AND(J502=$I$2,F$6=0,NOT(E$6="")),IF(OR(AND(Y502=AA502,Z502=AB502),AND(Y502=AB502,Z502=AA502)),"",IF(AND(Y502=Z502,AA502=AB502),Y502&amp;" +2 v. "&amp;AA502&amp;" +2, ",IF(Y502=AA502,Z502&amp;" v. "&amp;AB502&amp;", ",IF(Z502=AB502,Y502&amp;" v. "&amp;AA502&amp;", ",IF(Y502=AB502,Z502&amp;" v. "&amp;AA502&amp;", ",IF(Z502=AA502,Y502&amp;" v. "&amp;AB502&amp;", ",Y502&amp;" v. "&amp;AA502&amp;", "&amp;Z502&amp;" v. "&amp;AB502&amp;", ")))))),"")</f>
        <v/>
      </c>
      <c r="J502" s="97">
        <f>D$6</f>
        <v>1</v>
      </c>
      <c r="K502" s="95" t="str">
        <f t="shared" ca="1" si="191"/>
        <v>SR</v>
      </c>
      <c r="L502" s="95" t="str">
        <f t="shared" ca="1" si="192"/>
        <v>0</v>
      </c>
      <c r="M502" s="95" t="str">
        <f t="shared" ca="1" si="193"/>
        <v>0</v>
      </c>
      <c r="N502" s="95" t="str">
        <f t="shared" ca="1" si="194"/>
        <v>0</v>
      </c>
      <c r="O502" s="95" t="str">
        <f t="shared" ca="1" si="195"/>
        <v>0</v>
      </c>
      <c r="P502" s="95" t="str">
        <f t="shared" ca="1" si="196"/>
        <v>0</v>
      </c>
      <c r="Q502" s="95">
        <f ca="1">IF(AND(G502=T$6,LEN(G502)&gt;1),1,0)</f>
        <v>0</v>
      </c>
      <c r="R502" s="97">
        <f>Doubles!G$6</f>
        <v>5</v>
      </c>
      <c r="S502" s="95">
        <f ca="1">IF(AND(H502=H$6,LEN(H502)&gt;1,Q502=1),1,0)</f>
        <v>0</v>
      </c>
      <c r="U502" s="95" t="str">
        <f ca="1">AC498&amp;AC499&amp;AC500&amp;AC501&amp;AC502&amp;AC503&amp;AC504&amp;AC505&amp;AC506&amp;AC507&amp;AC508&amp;AC509&amp;AC510&amp;AC511&amp;AC512&amp;AC513&amp;AC514&amp;AC515&amp;AC516&amp;AC517&amp;AC518&amp;AC519&amp;AC520&amp;AC521</f>
        <v/>
      </c>
      <c r="V502" s="97">
        <f ca="1">VLOOKUP(5,R498:S521,2,0)</f>
        <v>0</v>
      </c>
      <c r="W502" s="95" t="str">
        <f t="shared" ca="1" si="197"/>
        <v/>
      </c>
      <c r="X502" s="95">
        <f ca="1">IF(F$6=0,IF(AND(G476=G528,NOT(G450=G476),NOT(G502=G528),LEN(W450)&gt;0),2,IF(LEN(W450)=0,0,1)),0)</f>
        <v>0</v>
      </c>
      <c r="AC502" s="95" t="str">
        <f ca="1">IF(AND(LEN(W502)&gt;0,F$6=0),IF(X502=2,W502&amp;" +2, ",W502&amp;", "),"")</f>
        <v/>
      </c>
    </row>
    <row r="503" spans="1:29">
      <c r="A503" s="95">
        <v>6</v>
      </c>
      <c r="B503" s="95">
        <f ca="1">IF(Doubles!C96="",0,Doubles!C96)</f>
        <v>0</v>
      </c>
      <c r="C503" s="99" t="str">
        <f ca="1">IF(OR(LEFT(B503,LEN(B$7))=B$7,LEFT(B503,LEN(C$7))=C$7,LEN(B503)&lt;2),"",IF(B503="no pick","","Wrong pick"))</f>
        <v/>
      </c>
      <c r="D503" s="95">
        <f t="shared" ca="1" si="188"/>
        <v>0</v>
      </c>
      <c r="E503" s="95">
        <f t="shared" ca="1" si="189"/>
        <v>1</v>
      </c>
      <c r="G503" s="95" t="str">
        <f ca="1">IF(B503=0,"",IF(B503="no pick","No Pick",IF(LEFT(B503,LEN(B$7))=B$7,B$7,C$7)))</f>
        <v/>
      </c>
      <c r="H503" s="95" t="str">
        <f t="shared" ca="1" si="190"/>
        <v>0-0</v>
      </c>
      <c r="I503" s="95" t="str">
        <f>IF(AND(J503=$I$2,F$7=0,NOT(E$7="")),IF(OR(AND(Y503=AA503,Z503=AB503),AND(Y503=AB503,Z503=AA503)),"",IF(AND(Y503=Z503,AA503=AB503),Y503&amp;" +2 v. "&amp;AA503&amp;" +2, ",IF(Y503=AA503,Z503&amp;" v. "&amp;AB503&amp;", ",IF(Z503=AB503,Y503&amp;" v. "&amp;AA503&amp;", ",IF(Y503=AB503,Z503&amp;" v. "&amp;AA503&amp;", ",IF(Z503=AA503,Y503&amp;" v. "&amp;AB503&amp;", ",Y503&amp;" v. "&amp;AA503&amp;", "&amp;Z503&amp;" v. "&amp;AB503&amp;", ")))))),"")</f>
        <v/>
      </c>
      <c r="J503" s="97">
        <f>D$7</f>
        <v>1</v>
      </c>
      <c r="K503" s="95" t="str">
        <f t="shared" ca="1" si="191"/>
        <v>SR</v>
      </c>
      <c r="L503" s="95" t="str">
        <f t="shared" ca="1" si="192"/>
        <v>0</v>
      </c>
      <c r="M503" s="95" t="str">
        <f t="shared" ca="1" si="193"/>
        <v>0</v>
      </c>
      <c r="N503" s="95" t="str">
        <f t="shared" ca="1" si="194"/>
        <v>0</v>
      </c>
      <c r="O503" s="95" t="str">
        <f t="shared" ca="1" si="195"/>
        <v>0</v>
      </c>
      <c r="P503" s="95" t="str">
        <f t="shared" ca="1" si="196"/>
        <v>0</v>
      </c>
      <c r="Q503" s="95">
        <f ca="1">IF(AND(G503=T$7,LEN(G503)&gt;1),1,0)</f>
        <v>0</v>
      </c>
      <c r="R503" s="97">
        <f>Doubles!G$7</f>
        <v>6</v>
      </c>
      <c r="S503" s="95">
        <f ca="1">IF(AND(H503=H$7,LEN(H503)&gt;1,Q503=1),1,0)</f>
        <v>0</v>
      </c>
      <c r="T503" s="105">
        <f ca="1">SUM(Q498:Q521)</f>
        <v>0</v>
      </c>
      <c r="U503" s="97">
        <f ca="1">SUM(S498:S521)</f>
        <v>0</v>
      </c>
      <c r="V503" s="97">
        <f ca="1">VLOOKUP(6,R498:S521,2,0)</f>
        <v>0</v>
      </c>
      <c r="W503" s="95" t="str">
        <f t="shared" ca="1" si="197"/>
        <v/>
      </c>
      <c r="X503" s="95">
        <f ca="1">IF(F$7=0,IF(AND(G477=G529,NOT(G451=G477),NOT(G503=G529),LEN(W451)&gt;0),2,IF(LEN(W451)=0,0,1)),0)</f>
        <v>0</v>
      </c>
      <c r="AC503" s="95" t="str">
        <f ca="1">IF(AND(LEN(W503)&gt;0,F$7=0),IF(X503=2,W503&amp;" +2, ",W503&amp;", "),"")</f>
        <v/>
      </c>
    </row>
    <row r="504" spans="1:29">
      <c r="A504" s="95">
        <v>7</v>
      </c>
      <c r="B504" s="95">
        <f ca="1">IF(Doubles!C97="",0,Doubles!C97)</f>
        <v>0</v>
      </c>
      <c r="C504" s="99" t="str">
        <f ca="1">IF(OR(LEFT(B504,LEN(B$8))=B$8,LEFT(B504,LEN(C$8))=C$8,LEN(B504)&lt;2),"",IF(B504="no pick","","Wrong pick"))</f>
        <v/>
      </c>
      <c r="D504" s="95">
        <f t="shared" ca="1" si="188"/>
        <v>0</v>
      </c>
      <c r="E504" s="95">
        <f t="shared" ca="1" si="189"/>
        <v>1</v>
      </c>
      <c r="G504" s="95" t="str">
        <f ca="1">IF(B504=0,"",IF(B504="no pick","No Pick",IF(LEFT(B504,LEN(B$8))=B$8,B$8,C$8)))</f>
        <v/>
      </c>
      <c r="H504" s="95" t="str">
        <f t="shared" ca="1" si="190"/>
        <v>0-0</v>
      </c>
      <c r="I504" s="95" t="str">
        <f>IF(AND(J504=$I$2,F$8=0,NOT(E$8="")),IF(OR(AND(Y504=AA504,Z504=AB504),AND(Y504=AB504,Z504=AA504)),"",IF(AND(Y504=Z504,AA504=AB504),Y504&amp;" +2 v. "&amp;AA504&amp;" +2, ",IF(Y504=AA504,Z504&amp;" v. "&amp;AB504&amp;", ",IF(Z504=AB504,Y504&amp;" v. "&amp;AA504&amp;", ",IF(Y504=AB504,Z504&amp;" v. "&amp;AA504&amp;", ",IF(Z504=AA504,Y504&amp;" v. "&amp;AB504&amp;", ",Y504&amp;" v. "&amp;AA504&amp;", "&amp;Z504&amp;" v. "&amp;AB504&amp;", ")))))),"")</f>
        <v/>
      </c>
      <c r="J504" s="97">
        <f>D$8</f>
        <v>1</v>
      </c>
      <c r="K504" s="95" t="str">
        <f t="shared" ca="1" si="191"/>
        <v>SR</v>
      </c>
      <c r="L504" s="95" t="str">
        <f t="shared" ca="1" si="192"/>
        <v>0</v>
      </c>
      <c r="M504" s="95" t="str">
        <f t="shared" ca="1" si="193"/>
        <v>0</v>
      </c>
      <c r="N504" s="95" t="str">
        <f t="shared" ca="1" si="194"/>
        <v>0</v>
      </c>
      <c r="O504" s="95" t="str">
        <f t="shared" ca="1" si="195"/>
        <v>0</v>
      </c>
      <c r="P504" s="95" t="str">
        <f t="shared" ca="1" si="196"/>
        <v>0</v>
      </c>
      <c r="Q504" s="95">
        <f ca="1">IF(AND(G504=T$8,LEN(G504)&gt;1),1,0)</f>
        <v>0</v>
      </c>
      <c r="R504" s="97">
        <f>Doubles!G$8</f>
        <v>7</v>
      </c>
      <c r="S504" s="95">
        <f ca="1">IF(AND(H504=H$8,LEN(H504)&gt;1,Q504=1),1,0)</f>
        <v>0</v>
      </c>
      <c r="T504" s="105">
        <f ca="1">SUM(Q524:Q547)</f>
        <v>0</v>
      </c>
      <c r="U504" s="97">
        <f ca="1">SUM(S524:S547)</f>
        <v>0</v>
      </c>
      <c r="V504" s="97">
        <f ca="1">VLOOKUP(7,R498:S521,2,0)</f>
        <v>0</v>
      </c>
      <c r="W504" s="95" t="str">
        <f t="shared" ca="1" si="197"/>
        <v/>
      </c>
      <c r="X504" s="95">
        <f ca="1">IF(F$8=0,IF(AND(G478=G530,NOT(G452=G478),NOT(G504=G530),LEN(W452)&gt;0),2,IF(LEN(W452)=0,0,1)),0)</f>
        <v>0</v>
      </c>
      <c r="AC504" s="95" t="str">
        <f ca="1">IF(AND(LEN(W504)&gt;0,F$8=0),IF(X504=2,W504&amp;" +2, ",W504&amp;", "),"")</f>
        <v/>
      </c>
    </row>
    <row r="505" spans="1:29">
      <c r="A505" s="95">
        <v>8</v>
      </c>
      <c r="B505" s="95">
        <f ca="1">IF(Doubles!C98="",0,Doubles!C98)</f>
        <v>0</v>
      </c>
      <c r="C505" s="99" t="str">
        <f ca="1">IF(OR(LEFT(B505,LEN(B$9))=B$9,LEFT(B505,LEN(C$9))=C$9,LEN(B505)&lt;2),"",IF(B505="no pick","","Wrong pick"))</f>
        <v/>
      </c>
      <c r="D505" s="95">
        <f t="shared" ca="1" si="188"/>
        <v>0</v>
      </c>
      <c r="E505" s="95">
        <f t="shared" ca="1" si="189"/>
        <v>1</v>
      </c>
      <c r="G505" s="95" t="str">
        <f ca="1">IF(B505=0,"",IF(B505="no pick","No Pick",IF(LEFT(B505,LEN(B$9))=B$9,B$9,C$9)))</f>
        <v/>
      </c>
      <c r="H505" s="95" t="str">
        <f t="shared" ca="1" si="190"/>
        <v>0-0</v>
      </c>
      <c r="I505" s="95" t="str">
        <f>IF(AND(J505=$I$2,F$9=0,NOT(E$9="")),IF(OR(AND(Y505=AA505,Z505=AB505),AND(Y505=AB505,Z505=AA505)),"",IF(AND(Y505=Z505,AA505=AB505),Y505&amp;" +2 v. "&amp;AA505&amp;" +2, ",IF(Y505=AA505,Z505&amp;" v. "&amp;AB505&amp;", ",IF(Z505=AB505,Y505&amp;" v. "&amp;AA505&amp;", ",IF(Y505=AB505,Z505&amp;" v. "&amp;AA505&amp;", ",IF(Z505=AA505,Y505&amp;" v. "&amp;AB505&amp;", ",Y505&amp;" v. "&amp;AA505&amp;", "&amp;Z505&amp;" v. "&amp;AB505&amp;", ")))))),"")</f>
        <v/>
      </c>
      <c r="J505" s="97">
        <f>D$9</f>
        <v>1</v>
      </c>
      <c r="K505" s="95" t="str">
        <f t="shared" ca="1" si="191"/>
        <v>SR</v>
      </c>
      <c r="L505" s="95" t="str">
        <f t="shared" ca="1" si="192"/>
        <v>0</v>
      </c>
      <c r="M505" s="95" t="str">
        <f t="shared" ca="1" si="193"/>
        <v>0</v>
      </c>
      <c r="N505" s="95" t="str">
        <f t="shared" ca="1" si="194"/>
        <v>0</v>
      </c>
      <c r="O505" s="95" t="str">
        <f t="shared" ca="1" si="195"/>
        <v>0</v>
      </c>
      <c r="P505" s="95" t="str">
        <f t="shared" ca="1" si="196"/>
        <v>0</v>
      </c>
      <c r="Q505" s="95">
        <f ca="1">IF(AND(G505=T$9,LEN(G505)&gt;1),1,0)</f>
        <v>0</v>
      </c>
      <c r="R505" s="97">
        <f>Doubles!G$9</f>
        <v>8</v>
      </c>
      <c r="S505" s="95">
        <f ca="1">IF(AND(H505=H$9,LEN(H505)&gt;1,Q505=1),1,0)</f>
        <v>0</v>
      </c>
      <c r="V505" s="97">
        <f ca="1">VLOOKUP(8,R498:S521,2,0)</f>
        <v>0</v>
      </c>
      <c r="W505" s="95" t="str">
        <f t="shared" ca="1" si="197"/>
        <v/>
      </c>
      <c r="X505" s="95">
        <f ca="1">IF(F$9=0,IF(AND(G479=G531,NOT(G453=G479),NOT(G505=G531),LEN(W453)&gt;0),2,IF(LEN(W453)=0,0,1)),0)</f>
        <v>0</v>
      </c>
      <c r="AC505" s="95" t="str">
        <f ca="1">IF(AND(LEN(W505)&gt;0,F$9=0),IF(X505=2,W505&amp;" +2, ",W505&amp;", "),"")</f>
        <v/>
      </c>
    </row>
    <row r="506" spans="1:29">
      <c r="A506" s="95">
        <v>9</v>
      </c>
      <c r="B506" s="95">
        <f ca="1">IF(Doubles!C99="",0,Doubles!C99)</f>
        <v>0</v>
      </c>
      <c r="C506" s="99" t="str">
        <f ca="1">IF(OR(LEFT(B506,LEN(B$10))=B$10,LEFT(B506,LEN(C$10))=C$10,LEN(B506)&lt;2),"",IF(B506="no pick","","Wrong pick"))</f>
        <v/>
      </c>
      <c r="D506" s="95">
        <f t="shared" ca="1" si="188"/>
        <v>0</v>
      </c>
      <c r="E506" s="95">
        <f t="shared" ca="1" si="189"/>
        <v>1</v>
      </c>
      <c r="G506" s="95" t="str">
        <f ca="1">IF(B506=0,"",IF(B506="no pick","No Pick",IF(LEFT(B506,LEN(B$10))=B$10,B$10,C$10)))</f>
        <v/>
      </c>
      <c r="H506" s="95" t="str">
        <f t="shared" ca="1" si="190"/>
        <v>0-0</v>
      </c>
      <c r="I506" s="95" t="str">
        <f>IF(AND(J506=$I$2,F$10=0,NOT(E$10="")),IF(OR(AND(Y506=AA506,Z506=AB506),AND(Y506=AB506,Z506=AA506)),"",IF(AND(Y506=Z506,AA506=AB506),Y506&amp;" +2 v. "&amp;AA506&amp;" +2, ",IF(Y506=AA506,Z506&amp;" v. "&amp;AB506&amp;", ",IF(Z506=AB506,Y506&amp;" v. "&amp;AA506&amp;", ",IF(Y506=AB506,Z506&amp;" v. "&amp;AA506&amp;", ",IF(Z506=AA506,Y506&amp;" v. "&amp;AB506&amp;", ",Y506&amp;" v. "&amp;AA506&amp;", "&amp;Z506&amp;" v. "&amp;AB506&amp;", ")))))),"")</f>
        <v/>
      </c>
      <c r="J506" s="97">
        <f>D$10</f>
        <v>1</v>
      </c>
      <c r="K506" s="95" t="str">
        <f t="shared" ca="1" si="191"/>
        <v>SR</v>
      </c>
      <c r="L506" s="95" t="str">
        <f t="shared" ca="1" si="192"/>
        <v>0</v>
      </c>
      <c r="M506" s="95" t="str">
        <f t="shared" ca="1" si="193"/>
        <v>0</v>
      </c>
      <c r="N506" s="95" t="str">
        <f t="shared" ca="1" si="194"/>
        <v>0</v>
      </c>
      <c r="O506" s="95" t="str">
        <f t="shared" ca="1" si="195"/>
        <v>0</v>
      </c>
      <c r="P506" s="95" t="str">
        <f t="shared" ca="1" si="196"/>
        <v>0</v>
      </c>
      <c r="Q506" s="95">
        <f ca="1">IF(AND(G506=T$10,LEN(G506)&gt;1),1,0)</f>
        <v>0</v>
      </c>
      <c r="R506" s="97">
        <f>Doubles!G$10</f>
        <v>9</v>
      </c>
      <c r="S506" s="95">
        <f ca="1">IF(AND(H506=H$10,LEN(H506)&gt;1,Q506=1),1,0)</f>
        <v>0</v>
      </c>
      <c r="T506" s="97" t="e">
        <f>VLOOKUP("Winner",T524:U540,2,0)</f>
        <v>#N/A</v>
      </c>
      <c r="U506" s="95" t="e">
        <f>VLOOKUP(T506,U524:W540,3,0)</f>
        <v>#N/A</v>
      </c>
      <c r="V506" s="97">
        <f ca="1">VLOOKUP(9,R498:S521,2,0)</f>
        <v>0</v>
      </c>
      <c r="W506" s="95" t="str">
        <f t="shared" ca="1" si="197"/>
        <v/>
      </c>
      <c r="X506" s="95">
        <f ca="1">IF(F$10=0,IF(AND(G480=G532,NOT(G454=G480),NOT(G506=G532),LEN(W454)&gt;0),2,IF(LEN(W454)=0,0,1)),0)</f>
        <v>0</v>
      </c>
      <c r="AC506" s="95" t="str">
        <f ca="1">IF(AND(LEN(W506)&gt;0,F$10=0),IF(X506=2,W506&amp;" +2, ",W506&amp;", "),"")</f>
        <v/>
      </c>
    </row>
    <row r="507" spans="1:29">
      <c r="A507" s="95">
        <v>10</v>
      </c>
      <c r="B507" s="95">
        <f ca="1">IF(Doubles!C100="",0,Doubles!C100)</f>
        <v>0</v>
      </c>
      <c r="C507" s="99" t="str">
        <f ca="1">IF(OR(LEFT(B507,LEN(B$11))=B$11,LEFT(B507,LEN(C$11))=C$11,LEN(B507)&lt;2),"",IF(B507="no pick","","Wrong pick"))</f>
        <v/>
      </c>
      <c r="D507" s="95">
        <f t="shared" ca="1" si="188"/>
        <v>0</v>
      </c>
      <c r="E507" s="95">
        <f t="shared" ca="1" si="189"/>
        <v>1</v>
      </c>
      <c r="G507" s="95" t="str">
        <f ca="1">IF(B507=0,"",IF(B507="no pick","No Pick",IF(LEFT(B507,LEN(B$11))=B$11,B$11,C$11)))</f>
        <v/>
      </c>
      <c r="H507" s="95" t="str">
        <f t="shared" ca="1" si="190"/>
        <v>0-0</v>
      </c>
      <c r="I507" s="95" t="str">
        <f>IF(AND(J507=$I$2,F$11=0,NOT(E$11="")),IF(OR(AND(Y507=AA507,Z507=AB507),AND(Y507=AB507,Z507=AA507)),"",IF(AND(Y507=Z507,AA507=AB507),Y507&amp;" +2 v. "&amp;AA507&amp;" +2, ",IF(Y507=AA507,Z507&amp;" v. "&amp;AB507&amp;", ",IF(Z507=AB507,Y507&amp;" v. "&amp;AA507&amp;", ",IF(Y507=AB507,Z507&amp;" v. "&amp;AA507&amp;", ",IF(Z507=AA507,Y507&amp;" v. "&amp;AB507&amp;", ",Y507&amp;" v. "&amp;AA507&amp;", "&amp;Z507&amp;" v. "&amp;AB507&amp;", ")))))),"")</f>
        <v/>
      </c>
      <c r="J507" s="97">
        <f>D$11</f>
        <v>1</v>
      </c>
      <c r="K507" s="95" t="str">
        <f t="shared" ca="1" si="191"/>
        <v>SR</v>
      </c>
      <c r="L507" s="95" t="str">
        <f t="shared" ca="1" si="192"/>
        <v>0</v>
      </c>
      <c r="M507" s="95" t="str">
        <f t="shared" ca="1" si="193"/>
        <v>0</v>
      </c>
      <c r="N507" s="95" t="str">
        <f t="shared" ca="1" si="194"/>
        <v>0</v>
      </c>
      <c r="O507" s="95" t="str">
        <f t="shared" ca="1" si="195"/>
        <v>0</v>
      </c>
      <c r="P507" s="95" t="str">
        <f t="shared" ca="1" si="196"/>
        <v>0</v>
      </c>
      <c r="Q507" s="95">
        <f ca="1">IF(AND(G507=T$11,LEN(G507)&gt;1),1,0)</f>
        <v>0</v>
      </c>
      <c r="R507" s="97">
        <f>Doubles!G$11</f>
        <v>10</v>
      </c>
      <c r="S507" s="95">
        <f ca="1">IF(AND(H507=H$11,LEN(H507)&gt;1,Q507=1),1,0)</f>
        <v>0</v>
      </c>
      <c r="V507" s="97">
        <f ca="1">VLOOKUP(10,R498:S521,2,0)</f>
        <v>0</v>
      </c>
      <c r="W507" s="95" t="str">
        <f t="shared" ca="1" si="197"/>
        <v/>
      </c>
      <c r="X507" s="95">
        <f ca="1">IF(F$11=0,IF(AND(G481=G533,NOT(G455=G481),NOT(G507=G533),LEN(W455)&gt;0),2,IF(LEN(W455)=0,0,1)),0)</f>
        <v>0</v>
      </c>
      <c r="AC507" s="95" t="str">
        <f ca="1">IF(AND(LEN(W507)&gt;0,F$11=0),IF(X507=2,W507&amp;" +2, ",W507&amp;", "),"")</f>
        <v/>
      </c>
    </row>
    <row r="508" spans="1:29">
      <c r="A508" s="95">
        <v>11</v>
      </c>
      <c r="B508" s="95">
        <f ca="1">IF(Doubles!C101="",0,Doubles!C101)</f>
        <v>0</v>
      </c>
      <c r="C508" s="99" t="str">
        <f ca="1">IF(OR(LEFT(B508,LEN(B$12))=B$12,LEFT(B508,LEN(C$12))=C$12,LEN(B508)&lt;2),"",IF(B508="no pick","","Wrong pick"))</f>
        <v/>
      </c>
      <c r="D508" s="95">
        <f t="shared" ca="1" si="188"/>
        <v>0</v>
      </c>
      <c r="E508" s="95">
        <f t="shared" ca="1" si="189"/>
        <v>1</v>
      </c>
      <c r="G508" s="95" t="str">
        <f ca="1">IF(B508=0,"",IF(B508="no pick","No Pick",IF(LEFT(B508,LEN(B$12))=B$12,B$12,C$12)))</f>
        <v/>
      </c>
      <c r="H508" s="95" t="str">
        <f t="shared" ca="1" si="190"/>
        <v>0-0</v>
      </c>
      <c r="I508" s="95" t="str">
        <f>IF(AND(J508=$I$2,F$12=0,NOT(E$12="")),IF(OR(AND(Y508=AA508,Z508=AB508),AND(Y508=AB508,Z508=AA508)),"",IF(AND(Y508=Z508,AA508=AB508),Y508&amp;" +2 v. "&amp;AA508&amp;" +2, ",IF(Y508=AA508,Z508&amp;" v. "&amp;AB508&amp;", ",IF(Z508=AB508,Y508&amp;" v. "&amp;AA508&amp;", ",IF(Y508=AB508,Z508&amp;" v. "&amp;AA508&amp;", ",IF(Z508=AA508,Y508&amp;" v. "&amp;AB508&amp;", ",Y508&amp;" v. "&amp;AA508&amp;", "&amp;Z508&amp;" v. "&amp;AB508&amp;", ")))))),"")</f>
        <v/>
      </c>
      <c r="J508" s="97">
        <f>D$12</f>
        <v>1</v>
      </c>
      <c r="K508" s="95" t="str">
        <f t="shared" ca="1" si="191"/>
        <v>SR</v>
      </c>
      <c r="L508" s="95" t="str">
        <f t="shared" ca="1" si="192"/>
        <v>0</v>
      </c>
      <c r="M508" s="95" t="str">
        <f t="shared" ca="1" si="193"/>
        <v>0</v>
      </c>
      <c r="N508" s="95" t="str">
        <f t="shared" ca="1" si="194"/>
        <v>0</v>
      </c>
      <c r="O508" s="95" t="str">
        <f t="shared" ca="1" si="195"/>
        <v>0</v>
      </c>
      <c r="P508" s="95" t="str">
        <f t="shared" ca="1" si="196"/>
        <v>0</v>
      </c>
      <c r="Q508" s="95">
        <f ca="1">IF(AND(G508=T$12,LEN(G508)&gt;1),1,0)</f>
        <v>0</v>
      </c>
      <c r="R508" s="97">
        <f>Doubles!G$12</f>
        <v>11</v>
      </c>
      <c r="S508" s="95">
        <f ca="1">IF(AND(H508=H$12,LEN(H508)&gt;1,Q508=1),1,0)</f>
        <v>0</v>
      </c>
      <c r="V508" s="97">
        <f ca="1">VLOOKUP(11,R498:S521,2,0)</f>
        <v>0</v>
      </c>
      <c r="W508" s="95" t="str">
        <f t="shared" ca="1" si="197"/>
        <v/>
      </c>
      <c r="X508" s="95">
        <f ca="1">IF(F$12=0,IF(AND(G482=G534,NOT(G456=G482),NOT(G508=G534),LEN(W456)&gt;0),2,IF(LEN(W456)=0,0,1)),0)</f>
        <v>0</v>
      </c>
      <c r="AC508" s="95" t="str">
        <f ca="1">IF(AND(LEN(W508)&gt;0,F$12=0),IF(X508=2,W508&amp;" +2, ",W508&amp;", "),"")</f>
        <v/>
      </c>
    </row>
    <row r="509" spans="1:29">
      <c r="A509" s="95">
        <v>12</v>
      </c>
      <c r="B509" s="95">
        <f ca="1">IF(Doubles!C102="",0,Doubles!C102)</f>
        <v>0</v>
      </c>
      <c r="C509" s="99" t="str">
        <f ca="1">IF(OR(LEFT(B509,LEN(B$13))=B$13,LEFT(B509,LEN(C$13))=C$13,LEN(B509)&lt;2),"",IF(B509="no pick","","Wrong pick"))</f>
        <v/>
      </c>
      <c r="D509" s="95">
        <f t="shared" ca="1" si="188"/>
        <v>0</v>
      </c>
      <c r="E509" s="95">
        <f t="shared" ca="1" si="189"/>
        <v>1</v>
      </c>
      <c r="G509" s="95" t="str">
        <f ca="1">IF(B509=0,"",IF(B509="no pick","No Pick",IF(LEFT(B509,LEN(B$13))=B$13,B$13,C$13)))</f>
        <v/>
      </c>
      <c r="H509" s="95" t="str">
        <f t="shared" ca="1" si="190"/>
        <v>0-0</v>
      </c>
      <c r="I509" s="95" t="str">
        <f>IF(AND(J509=$I$2,F$13=0,NOT(E$13="")),IF(OR(AND(Y509=AA509,Z509=AB509),AND(Y509=AB509,Z509=AA509)),"",IF(AND(Y509=Z509,AA509=AB509),Y509&amp;" +2 v. "&amp;AA509&amp;" +2, ",IF(Y509=AA509,Z509&amp;" v. "&amp;AB509&amp;", ",IF(Z509=AB509,Y509&amp;" v. "&amp;AA509&amp;", ",IF(Y509=AB509,Z509&amp;" v. "&amp;AA509&amp;", ",IF(Z509=AA509,Y509&amp;" v. "&amp;AB509&amp;", ",Y509&amp;" v. "&amp;AA509&amp;", "&amp;Z509&amp;" v. "&amp;AB509&amp;", ")))))),"")</f>
        <v/>
      </c>
      <c r="J509" s="97">
        <f>D$13</f>
        <v>1</v>
      </c>
      <c r="K509" s="95" t="str">
        <f t="shared" ca="1" si="191"/>
        <v>SR</v>
      </c>
      <c r="L509" s="95" t="str">
        <f t="shared" ca="1" si="192"/>
        <v>0</v>
      </c>
      <c r="M509" s="95" t="str">
        <f t="shared" ca="1" si="193"/>
        <v>0</v>
      </c>
      <c r="N509" s="95" t="str">
        <f t="shared" ca="1" si="194"/>
        <v>0</v>
      </c>
      <c r="O509" s="95" t="str">
        <f t="shared" ca="1" si="195"/>
        <v>0</v>
      </c>
      <c r="P509" s="95" t="str">
        <f t="shared" ca="1" si="196"/>
        <v>0</v>
      </c>
      <c r="Q509" s="95">
        <f ca="1">IF(AND(G509=T$13,LEN(G509)&gt;1),1,0)</f>
        <v>0</v>
      </c>
      <c r="R509" s="97">
        <f>Doubles!G$13</f>
        <v>12</v>
      </c>
      <c r="S509" s="95">
        <f ca="1">IF(AND(H509=H$13,LEN(H509)&gt;1,Q509=1),1,0)</f>
        <v>0</v>
      </c>
      <c r="V509" s="97">
        <f ca="1">VLOOKUP(12,R498:S521,2,0)</f>
        <v>0</v>
      </c>
      <c r="W509" s="95" t="str">
        <f t="shared" ca="1" si="197"/>
        <v/>
      </c>
      <c r="X509" s="95">
        <f ca="1">IF(F$13=0,IF(AND(G483=G535,NOT(G457=G483),NOT(G509=G535),LEN(W457)&gt;0),2,IF(LEN(W457)=0,0,1)),0)</f>
        <v>0</v>
      </c>
      <c r="AC509" s="95" t="str">
        <f ca="1">IF(AND(LEN(W509)&gt;0,F$13=0),IF(X509=2,W509&amp;" +2, ",W509&amp;", "),"")</f>
        <v/>
      </c>
    </row>
    <row r="510" spans="1:29">
      <c r="A510" s="95">
        <v>13</v>
      </c>
      <c r="B510" s="95">
        <f ca="1">IF(Doubles!C103="",0,Doubles!C103)</f>
        <v>0</v>
      </c>
      <c r="C510" s="99" t="str">
        <f ca="1">IF(OR(LEFT(B510,LEN(B$14))=B$14,LEFT(B510,LEN(C$14))=C$14,LEN(B510)&lt;2),"",IF(B510="no pick","","Wrong pick"))</f>
        <v/>
      </c>
      <c r="D510" s="95">
        <f t="shared" ca="1" si="188"/>
        <v>0</v>
      </c>
      <c r="E510" s="95">
        <f t="shared" ca="1" si="189"/>
        <v>1</v>
      </c>
      <c r="G510" s="95" t="str">
        <f ca="1">IF(B510=0,"",IF(B510="no pick","No Pick",IF(LEFT(B510,LEN(B$14))=B$14,B$14,C$14)))</f>
        <v/>
      </c>
      <c r="H510" s="95" t="str">
        <f t="shared" ca="1" si="190"/>
        <v>0-0</v>
      </c>
      <c r="I510" s="95" t="str">
        <f>IF(AND(J510=$I$2,F$14=0,NOT(E$14="")),IF(OR(AND(Y510=AA510,Z510=AB510),AND(Y510=AB510,Z510=AA510)),"",IF(AND(Y510=Z510,AA510=AB510),Y510&amp;" +2 v. "&amp;AA510&amp;" +2, ",IF(Y510=AA510,Z510&amp;" v. "&amp;AB510&amp;", ",IF(Z510=AB510,Y510&amp;" v. "&amp;AA510&amp;", ",IF(Y510=AB510,Z510&amp;" v. "&amp;AA510&amp;", ",IF(Z510=AA510,Y510&amp;" v. "&amp;AB510&amp;", ",Y510&amp;" v. "&amp;AA510&amp;", "&amp;Z510&amp;" v. "&amp;AB510&amp;", ")))))),"")</f>
        <v/>
      </c>
      <c r="J510" s="97">
        <f>D$14</f>
        <v>1</v>
      </c>
      <c r="K510" s="95" t="str">
        <f t="shared" ca="1" si="191"/>
        <v>SR</v>
      </c>
      <c r="L510" s="95" t="str">
        <f t="shared" ca="1" si="192"/>
        <v>0</v>
      </c>
      <c r="M510" s="95" t="str">
        <f t="shared" ca="1" si="193"/>
        <v>0</v>
      </c>
      <c r="N510" s="95" t="str">
        <f t="shared" ca="1" si="194"/>
        <v>0</v>
      </c>
      <c r="O510" s="95" t="str">
        <f t="shared" ca="1" si="195"/>
        <v>0</v>
      </c>
      <c r="P510" s="95" t="str">
        <f t="shared" ca="1" si="196"/>
        <v>0</v>
      </c>
      <c r="Q510" s="95">
        <f ca="1">IF(AND(G510=T$14,LEN(G510)&gt;1),1,0)</f>
        <v>0</v>
      </c>
      <c r="R510" s="97">
        <f>Doubles!G$14</f>
        <v>13</v>
      </c>
      <c r="S510" s="95">
        <f ca="1">IF(AND(H510=H$14,LEN(H510)&gt;1,Q510=1),1,0)</f>
        <v>0</v>
      </c>
      <c r="V510" s="97">
        <f ca="1">VLOOKUP(13,R498:S521,2,0)</f>
        <v>0</v>
      </c>
      <c r="W510" s="95" t="str">
        <f t="shared" ca="1" si="197"/>
        <v/>
      </c>
      <c r="X510" s="95">
        <f ca="1">IF(F$14=0,IF(AND(G484=G536,NOT(G458=G484),NOT(G510=G536),LEN(W458)&gt;0),2,IF(LEN(W458)=0,0,1)),0)</f>
        <v>0</v>
      </c>
      <c r="AC510" s="95" t="str">
        <f ca="1">IF(AND(LEN(W510)&gt;0,F$14=0),IF(X510=2,W510&amp;" +2, ",W510&amp;", "),"")</f>
        <v/>
      </c>
    </row>
    <row r="511" spans="1:29">
      <c r="A511" s="95">
        <v>14</v>
      </c>
      <c r="B511" s="95">
        <f ca="1">IF(Doubles!C104="",0,Doubles!C104)</f>
        <v>0</v>
      </c>
      <c r="C511" s="99" t="str">
        <f ca="1">IF(OR(LEFT(B511,LEN(B$15))=B$15,LEFT(B511,LEN(C$15))=C$15,LEN(B511)&lt;2),"",IF(B511="no pick","","Wrong pick"))</f>
        <v/>
      </c>
      <c r="D511" s="95">
        <f t="shared" ca="1" si="188"/>
        <v>0</v>
      </c>
      <c r="E511" s="95">
        <f t="shared" ca="1" si="189"/>
        <v>1</v>
      </c>
      <c r="G511" s="95" t="str">
        <f ca="1">IF(B511=0,"",IF(B511="no pick","No Pick",IF(LEFT(B511,LEN(B$15))=B$15,B$15,C$15)))</f>
        <v/>
      </c>
      <c r="H511" s="95" t="str">
        <f t="shared" ca="1" si="190"/>
        <v>0-0</v>
      </c>
      <c r="I511" s="95" t="str">
        <f>IF(AND(J511=$I$2,F$15=0,NOT(E$15="")),IF(OR(AND(Y511=AA511,Z511=AB511),AND(Y511=AB511,Z511=AA511)),"",IF(AND(Y511=Z511,AA511=AB511),Y511&amp;" +2 v. "&amp;AA511&amp;" +2, ",IF(Y511=AA511,Z511&amp;" v. "&amp;AB511&amp;", ",IF(Z511=AB511,Y511&amp;" v. "&amp;AA511&amp;", ",IF(Y511=AB511,Z511&amp;" v. "&amp;AA511&amp;", ",IF(Z511=AA511,Y511&amp;" v. "&amp;AB511&amp;", ",Y511&amp;" v. "&amp;AA511&amp;", "&amp;Z511&amp;" v. "&amp;AB511&amp;", ")))))),"")</f>
        <v/>
      </c>
      <c r="J511" s="97">
        <f>D$15</f>
        <v>1</v>
      </c>
      <c r="K511" s="95" t="str">
        <f t="shared" ca="1" si="191"/>
        <v>SR</v>
      </c>
      <c r="L511" s="95" t="str">
        <f t="shared" ca="1" si="192"/>
        <v>0</v>
      </c>
      <c r="M511" s="95" t="str">
        <f t="shared" ca="1" si="193"/>
        <v>0</v>
      </c>
      <c r="N511" s="95" t="str">
        <f t="shared" ca="1" si="194"/>
        <v>0</v>
      </c>
      <c r="O511" s="95" t="str">
        <f t="shared" ca="1" si="195"/>
        <v>0</v>
      </c>
      <c r="P511" s="95" t="str">
        <f t="shared" ca="1" si="196"/>
        <v>0</v>
      </c>
      <c r="Q511" s="95">
        <f ca="1">IF(AND(G511=T$15,LEN(G511)&gt;1),1,0)</f>
        <v>0</v>
      </c>
      <c r="R511" s="97">
        <f>Doubles!G$15</f>
        <v>14</v>
      </c>
      <c r="S511" s="95">
        <f ca="1">IF(AND(H511=H$15,LEN(H511)&gt;1,Q511=1),1,0)</f>
        <v>0</v>
      </c>
      <c r="V511" s="97">
        <f ca="1">VLOOKUP(14,R498:S521,2,0)</f>
        <v>0</v>
      </c>
      <c r="W511" s="95" t="str">
        <f t="shared" ca="1" si="197"/>
        <v/>
      </c>
      <c r="X511" s="95">
        <f ca="1">IF(F$15=0,IF(AND(G485=G537,NOT(G459=G485),NOT(G511=G537),LEN(W459)&gt;0),2,IF(LEN(W459)=0,0,1)),0)</f>
        <v>0</v>
      </c>
      <c r="AC511" s="95" t="str">
        <f ca="1">IF(AND(LEN(W511)&gt;0,F$15=0),IF(X511=2,W511&amp;" +2, ",W511&amp;", "),"")</f>
        <v/>
      </c>
    </row>
    <row r="512" spans="1:29">
      <c r="A512" s="95">
        <v>15</v>
      </c>
      <c r="B512" s="95">
        <f ca="1">IF(Doubles!C105="",0,Doubles!C105)</f>
        <v>0</v>
      </c>
      <c r="C512" s="99" t="str">
        <f ca="1">IF(OR(LEFT(B512,LEN(B$16))=B$16,LEFT(B512,LEN(C$16))=C$16,LEN(B512)&lt;2),"",IF(B512="no pick","","Wrong pick"))</f>
        <v/>
      </c>
      <c r="D512" s="95">
        <f t="shared" ca="1" si="188"/>
        <v>0</v>
      </c>
      <c r="E512" s="95">
        <f t="shared" ca="1" si="189"/>
        <v>1</v>
      </c>
      <c r="G512" s="95" t="str">
        <f ca="1">IF(B512=0,"",IF(B512="no pick","No Pick",IF(LEFT(B512,LEN(B$16))=B$16,B$16,C$16)))</f>
        <v/>
      </c>
      <c r="H512" s="95" t="str">
        <f t="shared" ca="1" si="190"/>
        <v>0-0</v>
      </c>
      <c r="I512" s="95" t="str">
        <f>IF(AND(J512=$I$2,F$16=0,NOT(E$16="")),IF(OR(AND(Y512=AA512,Z512=AB512),AND(Y512=AB512,Z512=AA512)),"",IF(AND(Y512=Z512,AA512=AB512),Y512&amp;" +2 v. "&amp;AA512&amp;" +2, ",IF(Y512=AA512,Z512&amp;" v. "&amp;AB512&amp;", ",IF(Z512=AB512,Y512&amp;" v. "&amp;AA512&amp;", ",IF(Y512=AB512,Z512&amp;" v. "&amp;AA512&amp;", ",IF(Z512=AA512,Y512&amp;" v. "&amp;AB512&amp;", ",Y512&amp;" v. "&amp;AA512&amp;", "&amp;Z512&amp;" v. "&amp;AB512&amp;", ")))))),"")</f>
        <v/>
      </c>
      <c r="J512" s="97">
        <f>D$16</f>
        <v>1</v>
      </c>
      <c r="K512" s="95" t="str">
        <f t="shared" ca="1" si="191"/>
        <v>SR</v>
      </c>
      <c r="L512" s="95" t="str">
        <f t="shared" ca="1" si="192"/>
        <v>0</v>
      </c>
      <c r="M512" s="95" t="str">
        <f t="shared" ca="1" si="193"/>
        <v>0</v>
      </c>
      <c r="N512" s="95" t="str">
        <f t="shared" ca="1" si="194"/>
        <v>0</v>
      </c>
      <c r="O512" s="95" t="str">
        <f t="shared" ca="1" si="195"/>
        <v>0</v>
      </c>
      <c r="P512" s="95" t="str">
        <f t="shared" ca="1" si="196"/>
        <v>0</v>
      </c>
      <c r="Q512" s="95">
        <f ca="1">IF(AND(G512=T$16,LEN(G512)&gt;1),1,0)</f>
        <v>0</v>
      </c>
      <c r="R512" s="97">
        <f>Doubles!G$16</f>
        <v>15</v>
      </c>
      <c r="S512" s="95">
        <f ca="1">IF(AND(H512=H$16,LEN(H512)&gt;1,Q512=1),1,0)</f>
        <v>0</v>
      </c>
      <c r="V512" s="97">
        <f ca="1">VLOOKUP(15,R498:S521,2,0)</f>
        <v>0</v>
      </c>
      <c r="W512" s="95" t="str">
        <f t="shared" ca="1" si="197"/>
        <v/>
      </c>
      <c r="X512" s="95">
        <f ca="1">IF(F$16=0,IF(AND(G486=G538,NOT(G460=G486),NOT(G512=G538),LEN(W460)&gt;0),2,IF(LEN(W460)=0,0,1)),0)</f>
        <v>0</v>
      </c>
      <c r="AC512" s="95" t="str">
        <f ca="1">IF(AND(LEN(W512)&gt;0,F$16=0),IF(X512=2,W512&amp;" +2, ",W512&amp;", "),"")</f>
        <v/>
      </c>
    </row>
    <row r="513" spans="1:29">
      <c r="A513" s="95">
        <v>16</v>
      </c>
      <c r="B513" s="95">
        <f ca="1">IF(Doubles!C106="",0,Doubles!C106)</f>
        <v>0</v>
      </c>
      <c r="C513" s="99" t="str">
        <f ca="1">IF(OR(LEFT(B513,LEN(B$17))=B$17,LEFT(B513,LEN(C$17))=C$17,LEN(B513)&lt;2),"",IF(B513="no pick","","Wrong pick"))</f>
        <v/>
      </c>
      <c r="D513" s="95">
        <f t="shared" ca="1" si="188"/>
        <v>0</v>
      </c>
      <c r="E513" s="95">
        <f t="shared" ca="1" si="189"/>
        <v>1</v>
      </c>
      <c r="G513" s="95" t="str">
        <f ca="1">IF(B513=0,"",IF(B513="no pick","No Pick",IF(LEFT(B513,LEN(B$17))=B$17,B$17,C$17)))</f>
        <v/>
      </c>
      <c r="H513" s="95" t="str">
        <f t="shared" ca="1" si="190"/>
        <v>0-0</v>
      </c>
      <c r="I513" s="95" t="str">
        <f>IF(AND(J513=$I$2,F$17=0,NOT(E$17="")),IF(OR(AND(Y513=AA513,Z513=AB513),AND(Y513=AB513,Z513=AA513)),"",IF(AND(Y513=Z513,AA513=AB513),Y513&amp;" +2 v. "&amp;AA513&amp;" +2, ",IF(Y513=AA513,Z513&amp;" v. "&amp;AB513&amp;", ",IF(Z513=AB513,Y513&amp;" v. "&amp;AA513&amp;", ",IF(Y513=AB513,Z513&amp;" v. "&amp;AA513&amp;", ",IF(Z513=AA513,Y513&amp;" v. "&amp;AB513&amp;", ",Y513&amp;" v. "&amp;AA513&amp;", "&amp;Z513&amp;" v. "&amp;AB513&amp;", ")))))),"")</f>
        <v/>
      </c>
      <c r="J513" s="97">
        <f>D$17</f>
        <v>1</v>
      </c>
      <c r="K513" s="95" t="str">
        <f t="shared" ca="1" si="191"/>
        <v>SR</v>
      </c>
      <c r="L513" s="95" t="str">
        <f t="shared" ca="1" si="192"/>
        <v>0</v>
      </c>
      <c r="M513" s="95" t="str">
        <f t="shared" ca="1" si="193"/>
        <v>0</v>
      </c>
      <c r="N513" s="95" t="str">
        <f t="shared" ca="1" si="194"/>
        <v>0</v>
      </c>
      <c r="O513" s="95" t="str">
        <f t="shared" ca="1" si="195"/>
        <v>0</v>
      </c>
      <c r="P513" s="95" t="str">
        <f t="shared" ca="1" si="196"/>
        <v>0</v>
      </c>
      <c r="Q513" s="95">
        <f ca="1">IF(AND(G513=T$17,LEN(G513)&gt;1),1,0)</f>
        <v>0</v>
      </c>
      <c r="R513" s="97">
        <f>Doubles!G$17</f>
        <v>16</v>
      </c>
      <c r="S513" s="95">
        <f ca="1">IF(AND(H513=H$17,LEN(H513)&gt;1,Q513=1),1,0)</f>
        <v>0</v>
      </c>
      <c r="V513" s="97">
        <f ca="1">VLOOKUP(16,R498:S521,2,0)</f>
        <v>0</v>
      </c>
      <c r="W513" s="95" t="str">
        <f t="shared" ca="1" si="197"/>
        <v/>
      </c>
      <c r="X513" s="95">
        <f ca="1">IF(F$17=0,IF(AND(G487=G539,NOT(G461=G487),NOT(G513=G539),LEN(W461)&gt;0),2,IF(LEN(W461)=0,0,1)),0)</f>
        <v>0</v>
      </c>
      <c r="AC513" s="95" t="str">
        <f ca="1">IF(AND(LEN(W513)&gt;0,F$17=0),IF(X513=2,W513&amp;" +2, ",W513&amp;", "),"")</f>
        <v/>
      </c>
    </row>
    <row r="514" spans="1:29">
      <c r="A514" s="95">
        <v>17</v>
      </c>
      <c r="B514" s="95">
        <f>IF(Doubles!C107="",0,Doubles!C107)</f>
        <v>0</v>
      </c>
      <c r="C514" s="99" t="str">
        <f>IF(OR(LEFT(B514,LEN(B$18))=B$18,LEFT(B514,LEN(C$18))=C$18,LEN(B514)&lt;2),"",IF(B514="no pick","","Wrong pick"))</f>
        <v/>
      </c>
      <c r="D514" s="95">
        <f t="shared" si="188"/>
        <v>0</v>
      </c>
      <c r="E514" s="95">
        <f t="shared" si="189"/>
        <v>0</v>
      </c>
      <c r="G514" s="95" t="str">
        <f>IF(B514=0,"",IF(B514="no pick","No Pick",IF(LEFT(B514,LEN(B$18))=B$18,B$18,C$18)))</f>
        <v/>
      </c>
      <c r="H514" s="95" t="str">
        <f t="shared" si="190"/>
        <v>0-0</v>
      </c>
      <c r="I514" s="95" t="str">
        <f>IF(AND(J514=$I$2,F$18=0,NOT(E$18="")),IF(OR(AND(Y514=AA514,Z514=AB514),AND(Y514=AB514,Z514=AA514)),"",IF(AND(Y514=Z514,AA514=AB514),Y514&amp;" +2 v. "&amp;AA514&amp;" +2, ",IF(Y514=AA514,Z514&amp;" v. "&amp;AB514&amp;", ",IF(Z514=AB514,Y514&amp;" v. "&amp;AA514&amp;", ",IF(Y514=AB514,Z514&amp;" v. "&amp;AA514&amp;", ",IF(Z514=AA514,Y514&amp;" v. "&amp;AB514&amp;", ",Y514&amp;" v. "&amp;AA514&amp;", "&amp;Z514&amp;" v. "&amp;AB514&amp;", ")))))),"")</f>
        <v/>
      </c>
      <c r="J514" s="95">
        <f>D$18</f>
        <v>0</v>
      </c>
      <c r="K514" s="95" t="str">
        <f t="shared" si="191"/>
        <v>SR</v>
      </c>
      <c r="L514" s="95" t="str">
        <f t="shared" si="192"/>
        <v>0</v>
      </c>
      <c r="M514" s="95" t="str">
        <f t="shared" si="193"/>
        <v>0</v>
      </c>
      <c r="N514" s="95" t="str">
        <f t="shared" si="194"/>
        <v>0</v>
      </c>
      <c r="O514" s="95" t="str">
        <f t="shared" si="195"/>
        <v>0</v>
      </c>
      <c r="P514" s="95" t="str">
        <f t="shared" si="196"/>
        <v>0</v>
      </c>
      <c r="Q514" s="95">
        <f>IF(AND(G514=T$18,LEN(G514)&gt;1),1,0)</f>
        <v>0</v>
      </c>
      <c r="R514" s="97">
        <f>Doubles!G$18</f>
        <v>17</v>
      </c>
      <c r="S514" s="95">
        <f>IF(AND(H514=H$18,LEN(H514)&gt;1,Q514=1),1,0)</f>
        <v>0</v>
      </c>
      <c r="V514" s="95">
        <f>VLOOKUP(17,R498:S521,2,0)</f>
        <v>0</v>
      </c>
      <c r="W514" s="95" t="str">
        <f t="shared" si="197"/>
        <v/>
      </c>
      <c r="X514" s="95">
        <f>IF(F$18=0,IF(AND(G488=G540,NOT(G462=G488),NOT(G514=G540),LEN(W462)&gt;0),2,IF(LEN(W462)=0,0,1)),0)</f>
        <v>0</v>
      </c>
      <c r="AC514" s="95" t="str">
        <f>IF(AND(LEN(W514)&gt;0,F$18=0),IF(X514=2,W514&amp;" +2, ",W514&amp;", "),"")</f>
        <v/>
      </c>
    </row>
    <row r="515" spans="1:29">
      <c r="A515" s="95">
        <v>18</v>
      </c>
      <c r="B515" s="95">
        <f>IF(Doubles!C108="",0,Doubles!C108)</f>
        <v>0</v>
      </c>
      <c r="C515" s="99" t="str">
        <f>IF(OR(LEFT(B515,LEN(B$19))=B$19,LEFT(B515,LEN(C$19))=C$19,LEN(B515)&lt;2),"",IF(B515="no pick","","Wrong pick"))</f>
        <v/>
      </c>
      <c r="D515" s="95">
        <f t="shared" si="188"/>
        <v>0</v>
      </c>
      <c r="E515" s="95">
        <f t="shared" si="189"/>
        <v>0</v>
      </c>
      <c r="G515" s="95" t="str">
        <f>IF(B515=0,"",IF(B515="no pick","No Pick",IF(LEFT(B515,LEN(B$19))=B$19,B$19,C$19)))</f>
        <v/>
      </c>
      <c r="H515" s="95" t="str">
        <f t="shared" si="190"/>
        <v>0-0</v>
      </c>
      <c r="I515" s="95" t="str">
        <f>IF(AND(J515=$I$2,F$19=0,NOT(E$19="")),IF(OR(AND(Y515=AA515,Z515=AB515),AND(Y515=AB515,Z515=AA515)),"",IF(AND(Y515=Z515,AA515=AB515),Y515&amp;" +2 v. "&amp;AA515&amp;" +2, ",IF(Y515=AA515,Z515&amp;" v. "&amp;AB515&amp;", ",IF(Z515=AB515,Y515&amp;" v. "&amp;AA515&amp;", ",IF(Y515=AB515,Z515&amp;" v. "&amp;AA515&amp;", ",IF(Z515=AA515,Y515&amp;" v. "&amp;AB515&amp;", ",Y515&amp;" v. "&amp;AA515&amp;", "&amp;Z515&amp;" v. "&amp;AB515&amp;", ")))))),"")</f>
        <v/>
      </c>
      <c r="J515" s="95">
        <f>D$19</f>
        <v>0</v>
      </c>
      <c r="K515" s="95" t="str">
        <f t="shared" si="191"/>
        <v>SR</v>
      </c>
      <c r="L515" s="95" t="str">
        <f t="shared" si="192"/>
        <v>0</v>
      </c>
      <c r="M515" s="95" t="str">
        <f t="shared" si="193"/>
        <v>0</v>
      </c>
      <c r="N515" s="95" t="str">
        <f t="shared" si="194"/>
        <v>0</v>
      </c>
      <c r="O515" s="95" t="str">
        <f t="shared" si="195"/>
        <v>0</v>
      </c>
      <c r="P515" s="95" t="str">
        <f t="shared" si="196"/>
        <v>0</v>
      </c>
      <c r="Q515" s="95">
        <f>IF(AND(G515=T$19,LEN(G515)&gt;1),1,0)</f>
        <v>0</v>
      </c>
      <c r="R515" s="97">
        <f>Doubles!G$19</f>
        <v>18</v>
      </c>
      <c r="S515" s="95">
        <f>IF(AND(H515=H$19,LEN(H515)&gt;1,Q515=1),1,0)</f>
        <v>0</v>
      </c>
      <c r="V515" s="97">
        <f>VLOOKUP(18,R498:S521,2,0)</f>
        <v>0</v>
      </c>
      <c r="W515" s="95" t="str">
        <f t="shared" si="197"/>
        <v/>
      </c>
      <c r="X515" s="95">
        <f>IF(F$19=0,IF(AND(G489=G541,NOT(G463=G489),NOT(G515=G541),LEN(W463)&gt;0),2,IF(LEN(W463)=0,0,1)),0)</f>
        <v>0</v>
      </c>
      <c r="AC515" s="95" t="str">
        <f>IF(AND(LEN(W515)&gt;0,F$19=0),IF(X515=2,W515&amp;" +2, ",W515&amp;", "),"")</f>
        <v/>
      </c>
    </row>
    <row r="516" spans="1:29">
      <c r="A516" s="95">
        <v>19</v>
      </c>
      <c r="B516" s="95">
        <f>IF(Doubles!C109="",0,Doubles!C109)</f>
        <v>0</v>
      </c>
      <c r="C516" s="99" t="str">
        <f>IF(OR(LEFT(B516,LEN(B$20))=B$20,LEFT(B516,LEN(C$20))=C$20,LEN(B516)&lt;2),"",IF(B516="no pick","","Wrong pick"))</f>
        <v/>
      </c>
      <c r="D516" s="95">
        <f t="shared" si="188"/>
        <v>0</v>
      </c>
      <c r="E516" s="95">
        <f t="shared" si="189"/>
        <v>0</v>
      </c>
      <c r="G516" s="95" t="str">
        <f>IF(B516=0,"",IF(B516="no pick","No Pick",IF(LEFT(B516,LEN(B$20))=B$20,B$20,C$20)))</f>
        <v/>
      </c>
      <c r="H516" s="95" t="str">
        <f t="shared" si="190"/>
        <v>0-0</v>
      </c>
      <c r="I516" s="95" t="str">
        <f>IF(AND(J516=$I$2,F$20=0,NOT(E$20="")),IF(OR(AND(Y516=AA516,Z516=AB516),AND(Y516=AB516,Z516=AA516)),"",IF(AND(Y516=Z516,AA516=AB516),Y516&amp;" +2 v. "&amp;AA516&amp;" +2, ",IF(Y516=AA516,Z516&amp;" v. "&amp;AB516&amp;", ",IF(Z516=AB516,Y516&amp;" v. "&amp;AA516&amp;", ",IF(Y516=AB516,Z516&amp;" v. "&amp;AA516&amp;", ",IF(Z516=AA516,Y516&amp;" v. "&amp;AB516&amp;", ",Y516&amp;" v. "&amp;AA516&amp;", "&amp;Z516&amp;" v. "&amp;AB516&amp;", ")))))),"")</f>
        <v/>
      </c>
      <c r="J516" s="95">
        <f>D$20</f>
        <v>0</v>
      </c>
      <c r="K516" s="95" t="str">
        <f t="shared" si="191"/>
        <v>SR</v>
      </c>
      <c r="L516" s="95" t="str">
        <f t="shared" si="192"/>
        <v>0</v>
      </c>
      <c r="M516" s="95" t="str">
        <f t="shared" si="193"/>
        <v>0</v>
      </c>
      <c r="N516" s="95" t="str">
        <f t="shared" si="194"/>
        <v>0</v>
      </c>
      <c r="O516" s="95" t="str">
        <f t="shared" si="195"/>
        <v>0</v>
      </c>
      <c r="P516" s="95" t="str">
        <f t="shared" si="196"/>
        <v>0</v>
      </c>
      <c r="Q516" s="95">
        <f>IF(AND(G516=T$20,LEN(G516)&gt;1),1,0)</f>
        <v>0</v>
      </c>
      <c r="R516" s="97">
        <f>Doubles!G$20</f>
        <v>19</v>
      </c>
      <c r="S516" s="95">
        <f>IF(AND(H516=H$20,LEN(H516)&gt;1,Q516=1),1,0)</f>
        <v>0</v>
      </c>
      <c r="V516" s="97">
        <f>VLOOKUP(19,R498:S521,2,0)</f>
        <v>0</v>
      </c>
      <c r="W516" s="95" t="str">
        <f t="shared" si="197"/>
        <v/>
      </c>
      <c r="X516" s="95">
        <f>IF(F$20=0,IF(AND(G490=G542,NOT(G464=G490),NOT(G516=G542),LEN(W464)&gt;0),2,IF(LEN(W464)=0,0,1)),0)</f>
        <v>0</v>
      </c>
      <c r="AC516" s="95" t="str">
        <f>IF(AND(LEN(W516)&gt;0,F$20=0),IF(X516=2,W516&amp;" +2, ",W516&amp;", "),"")</f>
        <v/>
      </c>
    </row>
    <row r="517" spans="1:29">
      <c r="A517" s="95">
        <v>20</v>
      </c>
      <c r="B517" s="95">
        <f>IF(Doubles!C110="",0,Doubles!C110)</f>
        <v>0</v>
      </c>
      <c r="C517" s="99" t="str">
        <f>IF(OR(LEFT(B517,LEN(B$21))=B$21,LEFT(B517,LEN(C$21))=C$21,LEN(B517)&lt;2),"",IF(B517="no pick","","Wrong pick"))</f>
        <v/>
      </c>
      <c r="D517" s="95">
        <f t="shared" si="188"/>
        <v>0</v>
      </c>
      <c r="E517" s="95">
        <f t="shared" si="189"/>
        <v>0</v>
      </c>
      <c r="G517" s="95" t="str">
        <f>IF(B517=0,"",IF(B517="no pick","No Pick",IF(LEFT(B517,LEN(B$21))=B$21,B$21,C$21)))</f>
        <v/>
      </c>
      <c r="H517" s="95" t="str">
        <f t="shared" si="190"/>
        <v>0-0</v>
      </c>
      <c r="I517" s="95" t="str">
        <f>IF(AND(J517=$I$2,F$21=0,NOT(E$21="")),IF(OR(AND(Y517=AA517,Z517=AB517),AND(Y517=AB517,Z517=AA517)),"",IF(AND(Y517=Z517,AA517=AB517),Y517&amp;" +2 v. "&amp;AA517&amp;" +2, ",IF(Y517=AA517,Z517&amp;" v. "&amp;AB517&amp;", ",IF(Z517=AB517,Y517&amp;" v. "&amp;AA517&amp;", ",IF(Y517=AB517,Z517&amp;" v. "&amp;AA517&amp;", ",IF(Z517=AA517,Y517&amp;" v. "&amp;AB517&amp;", ",Y517&amp;" v. "&amp;AA517&amp;", "&amp;Z517&amp;" v. "&amp;AB517&amp;", ")))))),"")</f>
        <v/>
      </c>
      <c r="J517" s="95">
        <f>D$21</f>
        <v>0</v>
      </c>
      <c r="K517" s="95" t="str">
        <f t="shared" si="191"/>
        <v>SR</v>
      </c>
      <c r="L517" s="95" t="str">
        <f t="shared" si="192"/>
        <v>0</v>
      </c>
      <c r="M517" s="95" t="str">
        <f t="shared" si="193"/>
        <v>0</v>
      </c>
      <c r="N517" s="95" t="str">
        <f t="shared" si="194"/>
        <v>0</v>
      </c>
      <c r="O517" s="95" t="str">
        <f t="shared" si="195"/>
        <v>0</v>
      </c>
      <c r="P517" s="95" t="str">
        <f t="shared" si="196"/>
        <v>0</v>
      </c>
      <c r="Q517" s="95">
        <f>IF(AND(G517=T$21,LEN(G517)&gt;1),1,0)</f>
        <v>0</v>
      </c>
      <c r="R517" s="97">
        <f>Doubles!G$21</f>
        <v>20</v>
      </c>
      <c r="S517" s="95">
        <f>IF(AND(H517=H$21,LEN(H517)&gt;1,Q517=1),1,0)</f>
        <v>0</v>
      </c>
      <c r="V517" s="97">
        <f>VLOOKUP(20,R498:S521,2,0)</f>
        <v>0</v>
      </c>
      <c r="W517" s="95" t="str">
        <f t="shared" si="197"/>
        <v/>
      </c>
      <c r="X517" s="95">
        <f>IF(F$21=0,IF(AND(G491=G543,NOT(G465=G491),NOT(G517=G543),LEN(W465)&gt;0),2,IF(LEN(W465)=0,0,1)),0)</f>
        <v>0</v>
      </c>
      <c r="AC517" s="95" t="str">
        <f>IF(AND(LEN(W517)&gt;0,F$21=0),IF(X517=2,W517&amp;" +2, ",W517&amp;", "),"")</f>
        <v/>
      </c>
    </row>
    <row r="518" spans="1:29">
      <c r="A518" s="95">
        <v>21</v>
      </c>
      <c r="B518" s="95">
        <f>IF(Doubles!C111="",0,Doubles!C111)</f>
        <v>0</v>
      </c>
      <c r="C518" s="99" t="str">
        <f>IF(OR(LEFT(B518,LEN(B$22))=B$22,LEFT(B518,LEN(C$22))=C$22,LEN(B518)&lt;2),"",IF(B518="no pick","","Wrong pick"))</f>
        <v/>
      </c>
      <c r="D518" s="95">
        <f t="shared" si="188"/>
        <v>0</v>
      </c>
      <c r="E518" s="95">
        <f t="shared" si="189"/>
        <v>0</v>
      </c>
      <c r="G518" s="95" t="str">
        <f>IF(B518=0,"",IF(B518="no pick","No Pick",IF(LEFT(B518,LEN(B$22))=B$22,B$22,C$22)))</f>
        <v/>
      </c>
      <c r="H518" s="95" t="str">
        <f t="shared" si="190"/>
        <v>0-0</v>
      </c>
      <c r="I518" s="95" t="str">
        <f>IF(AND(J518=$I$2,F$22=0,NOT(E$22="")),IF(OR(AND(Y518=AA518,Z518=AB518),AND(Y518=AB518,Z518=AA518)),"",IF(AND(Y518=Z518,AA518=AB518),Y518&amp;" +2 v. "&amp;AA518&amp;" +2, ",IF(Y518=AA518,Z518&amp;" v. "&amp;AB518&amp;", ",IF(Z518=AB518,Y518&amp;" v. "&amp;AA518&amp;", ",IF(Y518=AB518,Z518&amp;" v. "&amp;AA518&amp;", ",IF(Z518=AA518,Y518&amp;" v. "&amp;AB518&amp;", ",Y518&amp;" v. "&amp;AA518&amp;", "&amp;Z518&amp;" v. "&amp;AB518&amp;", ")))))),"")</f>
        <v/>
      </c>
      <c r="J518" s="95">
        <f>D$22</f>
        <v>0</v>
      </c>
      <c r="K518" s="95" t="str">
        <f t="shared" si="191"/>
        <v>SR</v>
      </c>
      <c r="L518" s="95" t="str">
        <f t="shared" si="192"/>
        <v>0</v>
      </c>
      <c r="M518" s="95" t="str">
        <f t="shared" si="193"/>
        <v>0</v>
      </c>
      <c r="N518" s="95" t="str">
        <f t="shared" si="194"/>
        <v>0</v>
      </c>
      <c r="O518" s="95" t="str">
        <f t="shared" si="195"/>
        <v>0</v>
      </c>
      <c r="P518" s="95" t="str">
        <f t="shared" si="196"/>
        <v>0</v>
      </c>
      <c r="Q518" s="95">
        <f>IF(AND(G518=T$22,LEN(G518)&gt;1),1,0)</f>
        <v>0</v>
      </c>
      <c r="R518" s="97">
        <f>Doubles!G$22</f>
        <v>21</v>
      </c>
      <c r="S518" s="95">
        <f>IF(AND(H518=H$22,LEN(H518)&gt;1,Q518=1),1,0)</f>
        <v>0</v>
      </c>
      <c r="V518" s="97">
        <f>VLOOKUP(21,R498:S521,2,0)</f>
        <v>0</v>
      </c>
      <c r="W518" s="95" t="str">
        <f t="shared" si="197"/>
        <v/>
      </c>
      <c r="X518" s="95">
        <f>IF(F$22=0,IF(AND(G492=G544,NOT(G466=G492),NOT(G518=G544),LEN(W466)&gt;0),2,IF(LEN(W466)=0,0,1)),0)</f>
        <v>0</v>
      </c>
      <c r="AC518" s="95" t="str">
        <f>IF(AND(LEN(W518)&gt;0,F$22=0),IF(X518=2,W518&amp;" +2, ",W518&amp;", "),"")</f>
        <v/>
      </c>
    </row>
    <row r="519" spans="1:29">
      <c r="A519" s="95">
        <v>22</v>
      </c>
      <c r="B519" s="95">
        <f>IF(Doubles!C112="",0,Doubles!C112)</f>
        <v>0</v>
      </c>
      <c r="C519" s="99" t="str">
        <f>IF(OR(LEFT(B519,LEN(B$23))=B$23,LEFT(B519,LEN(C$23))=C$23,LEN(B519)&lt;2),"",IF(B519="no pick","","Wrong pick"))</f>
        <v/>
      </c>
      <c r="D519" s="95">
        <f t="shared" si="188"/>
        <v>0</v>
      </c>
      <c r="E519" s="95">
        <f t="shared" si="189"/>
        <v>0</v>
      </c>
      <c r="G519" s="95" t="str">
        <f>IF(B519=0,"",IF(B519="no pick","No Pick",IF(LEFT(B519,LEN(B$23))=B$23,B$23,C$23)))</f>
        <v/>
      </c>
      <c r="H519" s="95" t="str">
        <f t="shared" si="190"/>
        <v>0-0</v>
      </c>
      <c r="I519" s="95" t="str">
        <f>IF(AND(J519=$I$2,F$23=0,NOT(E$23="")),IF(OR(AND(Y519=AA519,Z519=AB519),AND(Y519=AB519,Z519=AA519)),"",IF(AND(Y519=Z519,AA519=AB519),Y519&amp;" +2 v. "&amp;AA519&amp;" +2, ",IF(Y519=AA519,Z519&amp;" v. "&amp;AB519&amp;", ",IF(Z519=AB519,Y519&amp;" v. "&amp;AA519&amp;", ",IF(Y519=AB519,Z519&amp;" v. "&amp;AA519&amp;", ",IF(Z519=AA519,Y519&amp;" v. "&amp;AB519&amp;", ",Y519&amp;" v. "&amp;AA519&amp;", "&amp;Z519&amp;" v. "&amp;AB519&amp;", ")))))),"")</f>
        <v/>
      </c>
      <c r="J519" s="95">
        <f>D$23</f>
        <v>0</v>
      </c>
      <c r="K519" s="95" t="str">
        <f t="shared" si="191"/>
        <v>SR</v>
      </c>
      <c r="L519" s="95" t="str">
        <f t="shared" si="192"/>
        <v>0</v>
      </c>
      <c r="M519" s="95" t="str">
        <f t="shared" si="193"/>
        <v>0</v>
      </c>
      <c r="N519" s="95" t="str">
        <f t="shared" si="194"/>
        <v>0</v>
      </c>
      <c r="O519" s="95" t="str">
        <f t="shared" si="195"/>
        <v>0</v>
      </c>
      <c r="P519" s="95" t="str">
        <f t="shared" si="196"/>
        <v>0</v>
      </c>
      <c r="Q519" s="95">
        <f>IF(AND(G519=T$23,LEN(G519)&gt;1),1,0)</f>
        <v>0</v>
      </c>
      <c r="R519" s="97">
        <f>Doubles!G$23</f>
        <v>22</v>
      </c>
      <c r="S519" s="95">
        <f>IF(AND(H519=H$23,LEN(H519)&gt;1,Q519=1),1,0)</f>
        <v>0</v>
      </c>
      <c r="V519" s="97">
        <f>VLOOKUP(22,R498:S521,2,0)</f>
        <v>0</v>
      </c>
      <c r="W519" s="95" t="str">
        <f t="shared" si="197"/>
        <v/>
      </c>
      <c r="X519" s="95">
        <f>IF(F$23=0,IF(AND(G493=G545,NOT(G467=G493),NOT(G519=G545),LEN(W467)&gt;0),2,IF(LEN(W467)=0,0,1)),0)</f>
        <v>0</v>
      </c>
      <c r="AC519" s="95" t="str">
        <f>IF(AND(LEN(W519)&gt;0,F$23=0),IF(X519=2,W519&amp;" +2, ",W519&amp;", "),"")</f>
        <v/>
      </c>
    </row>
    <row r="520" spans="1:29">
      <c r="A520" s="95">
        <v>23</v>
      </c>
      <c r="B520" s="95">
        <f>IF(Doubles!C113="",0,Doubles!C113)</f>
        <v>0</v>
      </c>
      <c r="C520" s="99" t="str">
        <f>IF(OR(LEFT(B520,LEN(B$24))=B$24,LEFT(B520,LEN(C$24))=C$24,LEN(B520)&lt;2),"",IF(B520="no pick","","Wrong pick"))</f>
        <v/>
      </c>
      <c r="D520" s="95">
        <f t="shared" si="188"/>
        <v>0</v>
      </c>
      <c r="E520" s="95">
        <f t="shared" si="189"/>
        <v>0</v>
      </c>
      <c r="G520" s="95" t="str">
        <f>IF(B520=0,"",IF(B520="no pick","No Pick",IF(LEFT(B520,LEN(B$24))=B$24,B$24,C$24)))</f>
        <v/>
      </c>
      <c r="H520" s="95" t="str">
        <f t="shared" si="190"/>
        <v>0-0</v>
      </c>
      <c r="I520" s="95" t="str">
        <f>IF(AND(J520=$I$2,F$24=0,NOT(E$24="")),IF(OR(AND(Y520=AA520,Z520=AB520),AND(Y520=AB520,Z520=AA520)),"",IF(AND(Y520=Z520,AA520=AB520),Y520&amp;" +2 v. "&amp;AA520&amp;" +2, ",IF(Y520=AA520,Z520&amp;" v. "&amp;AB520&amp;", ",IF(Z520=AB520,Y520&amp;" v. "&amp;AA520&amp;", ",IF(Y520=AB520,Z520&amp;" v. "&amp;AA520&amp;", ",IF(Z520=AA520,Y520&amp;" v. "&amp;AB520&amp;", ",Y520&amp;" v. "&amp;AA520&amp;", "&amp;Z520&amp;" v. "&amp;AB520&amp;", ")))))),"")</f>
        <v/>
      </c>
      <c r="J520" s="95">
        <f>D$24</f>
        <v>0</v>
      </c>
      <c r="K520" s="95" t="str">
        <f t="shared" si="191"/>
        <v>SR</v>
      </c>
      <c r="L520" s="95" t="str">
        <f t="shared" si="192"/>
        <v>0</v>
      </c>
      <c r="M520" s="95" t="str">
        <f t="shared" si="193"/>
        <v>0</v>
      </c>
      <c r="N520" s="95" t="str">
        <f t="shared" si="194"/>
        <v>0</v>
      </c>
      <c r="O520" s="95" t="str">
        <f t="shared" si="195"/>
        <v>0</v>
      </c>
      <c r="P520" s="95" t="str">
        <f t="shared" si="196"/>
        <v>0</v>
      </c>
      <c r="Q520" s="95">
        <f>IF(AND(G520=T$24,LEN(G520)&gt;1),1,0)</f>
        <v>0</v>
      </c>
      <c r="R520" s="97">
        <f>Doubles!G$24</f>
        <v>23</v>
      </c>
      <c r="S520" s="95">
        <f>IF(AND(H520=H$24,LEN(H520)&gt;1,Q520=1),1,0)</f>
        <v>0</v>
      </c>
      <c r="V520" s="97">
        <f>VLOOKUP(23,R498:S521,2,0)</f>
        <v>0</v>
      </c>
      <c r="W520" s="95" t="str">
        <f t="shared" si="197"/>
        <v/>
      </c>
      <c r="X520" s="95">
        <f>IF(F$24=0,IF(AND(G494=G546,NOT(G468=G494),NOT(G520=G546),LEN(W468)&gt;0),2,IF(LEN(W468)=0,0,1)),0)</f>
        <v>0</v>
      </c>
      <c r="AC520" s="95" t="str">
        <f>IF(AND(LEN(W520)&gt;0,F$24=0),IF(X520=2,W520&amp;" +2, ",W520&amp;", "),"")</f>
        <v/>
      </c>
    </row>
    <row r="521" spans="1:29">
      <c r="A521" s="95">
        <v>24</v>
      </c>
      <c r="B521" s="95">
        <f>IF(Doubles!C114="",0,Doubles!C114)</f>
        <v>0</v>
      </c>
      <c r="C521" s="99" t="str">
        <f>IF(OR(LEFT(B521,LEN(B$25))=B$25,LEFT(B521,LEN(C$25))=C$25,LEN(B521)&lt;2),"",IF(B521="no pick","","Wrong pick"))</f>
        <v/>
      </c>
      <c r="D521" s="95">
        <f t="shared" si="188"/>
        <v>0</v>
      </c>
      <c r="E521" s="95">
        <f t="shared" si="189"/>
        <v>0</v>
      </c>
      <c r="G521" s="95" t="str">
        <f>IF(B521=0,"",IF(B521="no pick","No Pick",IF(LEFT(B521,LEN(B$25))=B$25,B$25,C$25)))</f>
        <v/>
      </c>
      <c r="H521" s="95" t="str">
        <f t="shared" si="190"/>
        <v>0-0</v>
      </c>
      <c r="I521" s="95" t="str">
        <f>IF(AND(J521=$I$2,F$25=0,NOT(E$25="")),IF(OR(AND(Y521=AA521,Z521=AB521),AND(Y521=AB521,Z521=AA521)),"",IF(AND(Y521=Z521,AA521=AB521),Y521&amp;" +2 v. "&amp;AA521&amp;" +2, ",IF(Y521=AA521,Z521&amp;" v. "&amp;AB521&amp;", ",IF(Z521=AB521,Y521&amp;" v. "&amp;AA521&amp;", ",IF(Y521=AB521,Z521&amp;" v. "&amp;AA521&amp;", ",IF(Z521=AA521,Y521&amp;" v. "&amp;AB521&amp;", ",Y521&amp;" v. "&amp;AA521&amp;", "&amp;Z521&amp;" v. "&amp;AB521&amp;", ")))))),"")</f>
        <v/>
      </c>
      <c r="J521" s="95">
        <f>D$25</f>
        <v>0</v>
      </c>
      <c r="K521" s="95" t="str">
        <f t="shared" si="191"/>
        <v>SR</v>
      </c>
      <c r="L521" s="95" t="str">
        <f t="shared" si="192"/>
        <v>0</v>
      </c>
      <c r="M521" s="95" t="str">
        <f t="shared" si="193"/>
        <v>0</v>
      </c>
      <c r="N521" s="95" t="str">
        <f t="shared" si="194"/>
        <v>0</v>
      </c>
      <c r="O521" s="95" t="str">
        <f t="shared" si="195"/>
        <v>0</v>
      </c>
      <c r="P521" s="95" t="str">
        <f t="shared" si="196"/>
        <v>0</v>
      </c>
      <c r="Q521" s="95">
        <f>IF(AND(G521=T$25,LEN(G521)&gt;1),1,0)</f>
        <v>0</v>
      </c>
      <c r="R521" s="97">
        <f>Doubles!G$25</f>
        <v>24</v>
      </c>
      <c r="S521" s="95">
        <f>IF(AND(H521=H$25,LEN(H521)&gt;1,Q521=1),1,0)</f>
        <v>0</v>
      </c>
      <c r="V521" s="97">
        <f>VLOOKUP(24,R498:S521,2,0)</f>
        <v>0</v>
      </c>
      <c r="W521" s="95" t="str">
        <f t="shared" si="197"/>
        <v/>
      </c>
      <c r="X521" s="95">
        <f>IF(F$25=0,IF(AND(G495=G547,NOT(G469=G495),NOT(G521=G547),LEN(W469)&gt;0),2,IF(LEN(W469)=0,0,1)),0)</f>
        <v>0</v>
      </c>
      <c r="AC521" s="95" t="str">
        <f>IF(AND(LEN(W521)&gt;0,F$25=0),IF(X521=2,W521&amp;" +2, ",W521&amp;", "),"")</f>
        <v/>
      </c>
    </row>
    <row r="523" spans="1:29">
      <c r="A523" s="95" t="e">
        <f>IF(LEN(VLOOKUP(B523,Doubles!$B$2:$D$17,3,0))&gt;0,VLOOKUP(B523,Doubles!$B$2:$D$17,3,0),"")</f>
        <v>#N/A</v>
      </c>
      <c r="B523" s="96">
        <f>Doubles!E90</f>
        <v>0</v>
      </c>
      <c r="C523" s="96">
        <v>4</v>
      </c>
      <c r="D523" s="95" t="e">
        <f>VLOOKUP(B523,Doubles!$B$2:$F$17,5,0)</f>
        <v>#N/A</v>
      </c>
      <c r="J523" s="95" t="s">
        <v>88</v>
      </c>
      <c r="Q523" s="95" t="s">
        <v>121</v>
      </c>
      <c r="S523" s="95" t="s">
        <v>122</v>
      </c>
      <c r="T523" s="95">
        <f>B523</f>
        <v>0</v>
      </c>
      <c r="V523" s="95" t="s">
        <v>122</v>
      </c>
    </row>
    <row r="524" spans="1:29">
      <c r="A524" s="95">
        <v>1</v>
      </c>
      <c r="B524" s="95">
        <f ca="1">IF(Doubles!E91="",0,Doubles!E91)</f>
        <v>0</v>
      </c>
      <c r="C524" s="99" t="str">
        <f ca="1">IF(OR(LEFT(B524,LEN(B$2))=B$2,LEFT(B524,LEN(C$2))=C$2,LEN(B524)&lt;2),"",IF(B524="no pick","","Wrong pick"))</f>
        <v/>
      </c>
      <c r="E524" s="95">
        <f t="shared" ref="E524:E547" ca="1" si="198">IF(AND($I$2=J524,B524=0),1,0)</f>
        <v>1</v>
      </c>
      <c r="F524" s="95" t="str">
        <f ca="1">IF(AND(SUM(E524:E547)=$I$4,NOT(B523="Bye")),"Missing picks from "&amp;B523&amp;" ","")</f>
        <v xml:space="preserve">Missing picks from 0 </v>
      </c>
      <c r="G524" s="95" t="str">
        <f ca="1">IF(B524=0,"",IF(B524="no pick","No Pick",IF(LEFT(B524,LEN(B$2))=B$2,B$2,C$2)))</f>
        <v/>
      </c>
      <c r="H524" s="95" t="str">
        <f t="shared" ref="H524:H547" ca="1" si="199">IF(L524="","",IF(K524="PTS",IF(LEN(O524)&lt;8,"2-0","2-1"),LEFT(O524,1)&amp;"-"&amp;RIGHT(O524,1)))</f>
        <v>0-0</v>
      </c>
      <c r="J524" s="97">
        <f>D$2</f>
        <v>1</v>
      </c>
      <c r="K524" s="95" t="str">
        <f t="shared" ref="K524:K547" ca="1" si="200">IF(LEN(L524)&gt;0,IF(LEN(O524)&lt;4,"SR","PTS"),"")</f>
        <v>SR</v>
      </c>
      <c r="L524" s="95" t="str">
        <f t="shared" ref="L524:L547" ca="1" si="201">TRIM(RIGHT(B524,LEN(B524)-LEN(G524)))</f>
        <v>0</v>
      </c>
      <c r="M524" s="95" t="str">
        <f t="shared" ref="M524:M547" ca="1" si="202">SUBSTITUTE(L524,"-","")</f>
        <v>0</v>
      </c>
      <c r="N524" s="95" t="str">
        <f t="shared" ref="N524:N547" ca="1" si="203">SUBSTITUTE(M524,","," ")</f>
        <v>0</v>
      </c>
      <c r="O524" s="95" t="str">
        <f t="shared" ref="O524:O547" ca="1" si="204">IF(AND(LEN(TRIM(SUBSTITUTE(P524,"/","")))&gt;6,OR(LEFT(TRIM(SUBSTITUTE(P524,"/","")),2)="20",LEFT(TRIM(SUBSTITUTE(P524,"/","")),2)="21")),RIGHT(TRIM(SUBSTITUTE(P524,"/","")),LEN(TRIM(SUBSTITUTE(P524,"/","")))-3),TRIM(SUBSTITUTE(P524,"/","")))</f>
        <v>0</v>
      </c>
      <c r="P524" s="95" t="str">
        <f t="shared" ref="P524:P547" ca="1" si="205">SUBSTITUTE(N524,":","")</f>
        <v>0</v>
      </c>
      <c r="Q524" s="95">
        <f ca="1">IF(AND(G524=T$2,LEN(G524)&gt;1),1,0)</f>
        <v>0</v>
      </c>
      <c r="R524" s="97">
        <f>Doubles!G$2</f>
        <v>1</v>
      </c>
      <c r="S524" s="95">
        <f ca="1">IF(AND(H524=H$2,LEN(H524)&gt;1,Q524=1),1,0)</f>
        <v>0</v>
      </c>
      <c r="V524" s="97">
        <f ca="1">VLOOKUP(1,R524:S547,2,0)</f>
        <v>0</v>
      </c>
      <c r="W524" s="95">
        <v>1</v>
      </c>
    </row>
    <row r="525" spans="1:29">
      <c r="A525" s="95">
        <v>2</v>
      </c>
      <c r="B525" s="95">
        <f ca="1">IF(Doubles!E92="",0,Doubles!E92)</f>
        <v>0</v>
      </c>
      <c r="C525" s="99" t="str">
        <f ca="1">IF(OR(LEFT(B525,LEN(B$3))=B$3,LEFT(B525,LEN(C$3))=C$3,LEN(B525)&lt;2),"",IF(B525="no pick","","Wrong pick"))</f>
        <v/>
      </c>
      <c r="E525" s="95">
        <f t="shared" ca="1" si="198"/>
        <v>1</v>
      </c>
      <c r="G525" s="95" t="str">
        <f ca="1">IF(B525=0,"",IF(B525="no pick","No Pick",IF(LEFT(B525,LEN(B$3))=B$3,B$3,C$3)))</f>
        <v/>
      </c>
      <c r="H525" s="95" t="str">
        <f t="shared" ca="1" si="199"/>
        <v>0-0</v>
      </c>
      <c r="J525" s="97">
        <f>D$3</f>
        <v>1</v>
      </c>
      <c r="K525" s="95" t="str">
        <f t="shared" ca="1" si="200"/>
        <v>SR</v>
      </c>
      <c r="L525" s="95" t="str">
        <f t="shared" ca="1" si="201"/>
        <v>0</v>
      </c>
      <c r="M525" s="95" t="str">
        <f t="shared" ca="1" si="202"/>
        <v>0</v>
      </c>
      <c r="N525" s="95" t="str">
        <f t="shared" ca="1" si="203"/>
        <v>0</v>
      </c>
      <c r="O525" s="95" t="str">
        <f t="shared" ca="1" si="204"/>
        <v>0</v>
      </c>
      <c r="P525" s="95" t="str">
        <f t="shared" ca="1" si="205"/>
        <v>0</v>
      </c>
      <c r="Q525" s="95">
        <f ca="1">IF(AND(G525=T$3,LEN(G525)&gt;1),1,0)</f>
        <v>0</v>
      </c>
      <c r="R525" s="97">
        <f>Doubles!G$3</f>
        <v>2</v>
      </c>
      <c r="S525" s="95">
        <f ca="1">IF(AND(H525=H$3,LEN(H525)&gt;1,Q525=1),1,0)</f>
        <v>0</v>
      </c>
      <c r="V525" s="97">
        <f ca="1">VLOOKUP(2,R524:S547,2,0)</f>
        <v>0</v>
      </c>
      <c r="W525" s="95">
        <v>2</v>
      </c>
    </row>
    <row r="526" spans="1:29">
      <c r="A526" s="95">
        <v>3</v>
      </c>
      <c r="B526" s="95">
        <f ca="1">IF(Doubles!E93="",0,Doubles!E93)</f>
        <v>0</v>
      </c>
      <c r="C526" s="99" t="str">
        <f ca="1">IF(OR(LEFT(B526,LEN(B$4))=B$4,LEFT(B526,LEN(C$4))=C$4,LEN(B526)&lt;2),"",IF(B526="no pick","","Wrong pick"))</f>
        <v/>
      </c>
      <c r="E526" s="95">
        <f t="shared" ca="1" si="198"/>
        <v>1</v>
      </c>
      <c r="G526" s="95" t="str">
        <f ca="1">IF(B526=0,"",IF(B526="no pick","No Pick",IF(LEFT(B526,LEN(B$4))=B$4,B$4,C$4)))</f>
        <v/>
      </c>
      <c r="H526" s="95" t="str">
        <f t="shared" ca="1" si="199"/>
        <v>0-0</v>
      </c>
      <c r="J526" s="97">
        <f>D$4</f>
        <v>1</v>
      </c>
      <c r="K526" s="95" t="str">
        <f t="shared" ca="1" si="200"/>
        <v>SR</v>
      </c>
      <c r="L526" s="95" t="str">
        <f t="shared" ca="1" si="201"/>
        <v>0</v>
      </c>
      <c r="M526" s="95" t="str">
        <f t="shared" ca="1" si="202"/>
        <v>0</v>
      </c>
      <c r="N526" s="95" t="str">
        <f t="shared" ca="1" si="203"/>
        <v>0</v>
      </c>
      <c r="O526" s="95" t="str">
        <f t="shared" ca="1" si="204"/>
        <v>0</v>
      </c>
      <c r="P526" s="95" t="str">
        <f t="shared" ca="1" si="205"/>
        <v>0</v>
      </c>
      <c r="Q526" s="95">
        <f ca="1">IF(AND(G526=T$4,LEN(G526)&gt;1),1,0)</f>
        <v>0</v>
      </c>
      <c r="R526" s="97">
        <f>Doubles!G$4</f>
        <v>3</v>
      </c>
      <c r="S526" s="95">
        <f ca="1">IF(AND(H526=H$4,LEN(H526)&gt;1,Q526=1),1,0)</f>
        <v>0</v>
      </c>
      <c r="V526" s="97">
        <f ca="1">VLOOKUP(3,R524:S547,2,0)</f>
        <v>0</v>
      </c>
      <c r="W526" s="95">
        <v>3</v>
      </c>
    </row>
    <row r="527" spans="1:29">
      <c r="A527" s="95">
        <v>4</v>
      </c>
      <c r="B527" s="95">
        <f ca="1">IF(Doubles!E94="",0,Doubles!E94)</f>
        <v>0</v>
      </c>
      <c r="C527" s="99" t="str">
        <f ca="1">IF(OR(LEFT(B527,LEN(B$5))=B$5,LEFT(B527,LEN(C$5))=C$5,LEN(B527)&lt;2),"",IF(B527="no pick","","Wrong pick"))</f>
        <v/>
      </c>
      <c r="E527" s="95">
        <f t="shared" ca="1" si="198"/>
        <v>1</v>
      </c>
      <c r="G527" s="95" t="str">
        <f ca="1">IF(B527=0,"",IF(B527="no pick","No Pick",IF(LEFT(B527,LEN(B$5))=B$5,B$5,C$5)))</f>
        <v/>
      </c>
      <c r="H527" s="95" t="str">
        <f t="shared" ca="1" si="199"/>
        <v>0-0</v>
      </c>
      <c r="J527" s="97">
        <f>D$5</f>
        <v>1</v>
      </c>
      <c r="K527" s="95" t="str">
        <f t="shared" ca="1" si="200"/>
        <v>SR</v>
      </c>
      <c r="L527" s="95" t="str">
        <f t="shared" ca="1" si="201"/>
        <v>0</v>
      </c>
      <c r="M527" s="95" t="str">
        <f t="shared" ca="1" si="202"/>
        <v>0</v>
      </c>
      <c r="N527" s="95" t="str">
        <f t="shared" ca="1" si="203"/>
        <v>0</v>
      </c>
      <c r="O527" s="95" t="str">
        <f t="shared" ca="1" si="204"/>
        <v>0</v>
      </c>
      <c r="P527" s="95" t="str">
        <f t="shared" ca="1" si="205"/>
        <v>0</v>
      </c>
      <c r="Q527" s="95">
        <f ca="1">IF(AND(G527=T$5,LEN(G527)&gt;1),1,0)</f>
        <v>0</v>
      </c>
      <c r="R527" s="97">
        <f>Doubles!G$5</f>
        <v>4</v>
      </c>
      <c r="S527" s="95">
        <f ca="1">IF(AND(H527=H$5,LEN(H527)&gt;1,Q527=1),1,0)</f>
        <v>0</v>
      </c>
      <c r="V527" s="97">
        <f ca="1">VLOOKUP(4,R524:S547,2,0)</f>
        <v>0</v>
      </c>
      <c r="W527" s="95">
        <v>4</v>
      </c>
    </row>
    <row r="528" spans="1:29">
      <c r="A528" s="95">
        <v>5</v>
      </c>
      <c r="B528" s="95">
        <f ca="1">IF(Doubles!E95="",0,Doubles!E95)</f>
        <v>0</v>
      </c>
      <c r="C528" s="99" t="str">
        <f ca="1">IF(OR(LEFT(B528,LEN(B$6))=B$6,LEFT(B528,LEN(C$6))=C$6,LEN(B528)&lt;2),"",IF(B528="no pick","","Wrong pick"))</f>
        <v/>
      </c>
      <c r="E528" s="95">
        <f t="shared" ca="1" si="198"/>
        <v>1</v>
      </c>
      <c r="G528" s="95" t="str">
        <f ca="1">IF(B528=0,"",IF(B528="no pick","No Pick",IF(LEFT(B528,LEN(B$6))=B$6,B$6,C$6)))</f>
        <v/>
      </c>
      <c r="H528" s="95" t="str">
        <f t="shared" ca="1" si="199"/>
        <v>0-0</v>
      </c>
      <c r="J528" s="97">
        <f>D$6</f>
        <v>1</v>
      </c>
      <c r="K528" s="95" t="str">
        <f t="shared" ca="1" si="200"/>
        <v>SR</v>
      </c>
      <c r="L528" s="95" t="str">
        <f t="shared" ca="1" si="201"/>
        <v>0</v>
      </c>
      <c r="M528" s="95" t="str">
        <f t="shared" ca="1" si="202"/>
        <v>0</v>
      </c>
      <c r="N528" s="95" t="str">
        <f t="shared" ca="1" si="203"/>
        <v>0</v>
      </c>
      <c r="O528" s="95" t="str">
        <f t="shared" ca="1" si="204"/>
        <v>0</v>
      </c>
      <c r="P528" s="95" t="str">
        <f t="shared" ca="1" si="205"/>
        <v>0</v>
      </c>
      <c r="Q528" s="95">
        <f ca="1">IF(AND(G528=T$6,LEN(G528)&gt;1),1,0)</f>
        <v>0</v>
      </c>
      <c r="R528" s="97">
        <f>Doubles!G$6</f>
        <v>5</v>
      </c>
      <c r="S528" s="95">
        <f ca="1">IF(AND(H528=H$6,LEN(H528)&gt;1,Q528=1),1,0)</f>
        <v>0</v>
      </c>
      <c r="V528" s="97">
        <f ca="1">VLOOKUP(5,R524:S547,2,0)</f>
        <v>0</v>
      </c>
      <c r="W528" s="95">
        <v>5</v>
      </c>
    </row>
    <row r="529" spans="1:23">
      <c r="A529" s="95">
        <v>6</v>
      </c>
      <c r="B529" s="95">
        <f ca="1">IF(Doubles!E96="",0,Doubles!E96)</f>
        <v>0</v>
      </c>
      <c r="C529" s="99" t="str">
        <f ca="1">IF(OR(LEFT(B529,LEN(B$7))=B$7,LEFT(B529,LEN(C$7))=C$7,LEN(B529)&lt;2),"",IF(B529="no pick","","Wrong pick"))</f>
        <v/>
      </c>
      <c r="E529" s="95">
        <f t="shared" ca="1" si="198"/>
        <v>1</v>
      </c>
      <c r="G529" s="95" t="str">
        <f ca="1">IF(B529=0,"",IF(B529="no pick","No Pick",IF(LEFT(B529,LEN(B$7))=B$7,B$7,C$7)))</f>
        <v/>
      </c>
      <c r="H529" s="95" t="str">
        <f t="shared" ca="1" si="199"/>
        <v>0-0</v>
      </c>
      <c r="J529" s="97">
        <f>D$7</f>
        <v>1</v>
      </c>
      <c r="K529" s="95" t="str">
        <f t="shared" ca="1" si="200"/>
        <v>SR</v>
      </c>
      <c r="L529" s="95" t="str">
        <f t="shared" ca="1" si="201"/>
        <v>0</v>
      </c>
      <c r="M529" s="95" t="str">
        <f t="shared" ca="1" si="202"/>
        <v>0</v>
      </c>
      <c r="N529" s="95" t="str">
        <f t="shared" ca="1" si="203"/>
        <v>0</v>
      </c>
      <c r="O529" s="95" t="str">
        <f t="shared" ca="1" si="204"/>
        <v>0</v>
      </c>
      <c r="P529" s="95" t="str">
        <f t="shared" ca="1" si="205"/>
        <v>0</v>
      </c>
      <c r="Q529" s="95">
        <f ca="1">IF(AND(G529=T$7,LEN(G529)&gt;1),1,0)</f>
        <v>0</v>
      </c>
      <c r="R529" s="97">
        <f>Doubles!G$7</f>
        <v>6</v>
      </c>
      <c r="S529" s="95">
        <f ca="1">IF(AND(H529=H$7,LEN(H529)&gt;1,Q529=1),1,0)</f>
        <v>0</v>
      </c>
      <c r="V529" s="97">
        <f ca="1">VLOOKUP(6,R524:S547,2,0)</f>
        <v>0</v>
      </c>
      <c r="W529" s="95">
        <v>6</v>
      </c>
    </row>
    <row r="530" spans="1:23">
      <c r="A530" s="95">
        <v>7</v>
      </c>
      <c r="B530" s="95">
        <f ca="1">IF(Doubles!E97="",0,Doubles!E97)</f>
        <v>0</v>
      </c>
      <c r="C530" s="99" t="str">
        <f ca="1">IF(OR(LEFT(B530,LEN(B$8))=B$8,LEFT(B530,LEN(C$8))=C$8,LEN(B530)&lt;2),"",IF(B530="no pick","","Wrong pick"))</f>
        <v/>
      </c>
      <c r="E530" s="95">
        <f t="shared" ca="1" si="198"/>
        <v>1</v>
      </c>
      <c r="G530" s="95" t="str">
        <f ca="1">IF(B530=0,"",IF(B530="no pick","No Pick",IF(LEFT(B530,LEN(B$8))=B$8,B$8,C$8)))</f>
        <v/>
      </c>
      <c r="H530" s="95" t="str">
        <f t="shared" ca="1" si="199"/>
        <v>0-0</v>
      </c>
      <c r="J530" s="97">
        <f>D$8</f>
        <v>1</v>
      </c>
      <c r="K530" s="95" t="str">
        <f t="shared" ca="1" si="200"/>
        <v>SR</v>
      </c>
      <c r="L530" s="95" t="str">
        <f t="shared" ca="1" si="201"/>
        <v>0</v>
      </c>
      <c r="M530" s="95" t="str">
        <f t="shared" ca="1" si="202"/>
        <v>0</v>
      </c>
      <c r="N530" s="95" t="str">
        <f t="shared" ca="1" si="203"/>
        <v>0</v>
      </c>
      <c r="O530" s="95" t="str">
        <f t="shared" ca="1" si="204"/>
        <v>0</v>
      </c>
      <c r="P530" s="95" t="str">
        <f t="shared" ca="1" si="205"/>
        <v>0</v>
      </c>
      <c r="Q530" s="95">
        <f ca="1">IF(AND(G530=T$8,LEN(G530)&gt;1),1,0)</f>
        <v>0</v>
      </c>
      <c r="R530" s="97">
        <f>Doubles!G$8</f>
        <v>7</v>
      </c>
      <c r="S530" s="95">
        <f ca="1">IF(AND(H530=H$8,LEN(H530)&gt;1,Q530=1),1,0)</f>
        <v>0</v>
      </c>
      <c r="V530" s="97">
        <f ca="1">VLOOKUP(7,R524:S547,2,0)</f>
        <v>0</v>
      </c>
      <c r="W530" s="95">
        <v>7</v>
      </c>
    </row>
    <row r="531" spans="1:23">
      <c r="A531" s="95">
        <v>8</v>
      </c>
      <c r="B531" s="95">
        <f ca="1">IF(Doubles!E98="",0,Doubles!E98)</f>
        <v>0</v>
      </c>
      <c r="C531" s="99" t="str">
        <f ca="1">IF(OR(LEFT(B531,LEN(B$9))=B$9,LEFT(B531,LEN(C$9))=C$9,LEN(B531)&lt;2),"",IF(B531="no pick","","Wrong pick"))</f>
        <v/>
      </c>
      <c r="E531" s="95">
        <f t="shared" ca="1" si="198"/>
        <v>1</v>
      </c>
      <c r="G531" s="95" t="str">
        <f ca="1">IF(B531=0,"",IF(B531="no pick","No Pick",IF(LEFT(B531,LEN(B$9))=B$9,B$9,C$9)))</f>
        <v/>
      </c>
      <c r="H531" s="95" t="str">
        <f t="shared" ca="1" si="199"/>
        <v>0-0</v>
      </c>
      <c r="J531" s="97">
        <f>D$9</f>
        <v>1</v>
      </c>
      <c r="K531" s="95" t="str">
        <f t="shared" ca="1" si="200"/>
        <v>SR</v>
      </c>
      <c r="L531" s="95" t="str">
        <f t="shared" ca="1" si="201"/>
        <v>0</v>
      </c>
      <c r="M531" s="95" t="str">
        <f t="shared" ca="1" si="202"/>
        <v>0</v>
      </c>
      <c r="N531" s="95" t="str">
        <f t="shared" ca="1" si="203"/>
        <v>0</v>
      </c>
      <c r="O531" s="95" t="str">
        <f t="shared" ca="1" si="204"/>
        <v>0</v>
      </c>
      <c r="P531" s="95" t="str">
        <f t="shared" ca="1" si="205"/>
        <v>0</v>
      </c>
      <c r="Q531" s="95">
        <f ca="1">IF(AND(G531=T$9,LEN(G531)&gt;1),1,0)</f>
        <v>0</v>
      </c>
      <c r="R531" s="97">
        <f>Doubles!G$9</f>
        <v>8</v>
      </c>
      <c r="S531" s="95">
        <f ca="1">IF(AND(H531=H$9,LEN(H531)&gt;1,Q531=1),1,0)</f>
        <v>0</v>
      </c>
      <c r="V531" s="97">
        <f ca="1">VLOOKUP(8,R524:S547,2,0)</f>
        <v>0</v>
      </c>
      <c r="W531" s="95">
        <v>8</v>
      </c>
    </row>
    <row r="532" spans="1:23">
      <c r="A532" s="95">
        <v>9</v>
      </c>
      <c r="B532" s="95">
        <f ca="1">IF(Doubles!E99="",0,Doubles!E99)</f>
        <v>0</v>
      </c>
      <c r="C532" s="99" t="str">
        <f ca="1">IF(OR(LEFT(B532,LEN(B$10))=B$10,LEFT(B532,LEN(C$10))=C$10,LEN(B532)&lt;2),"",IF(B532="no pick","","Wrong pick"))</f>
        <v/>
      </c>
      <c r="E532" s="95">
        <f t="shared" ca="1" si="198"/>
        <v>1</v>
      </c>
      <c r="G532" s="95" t="str">
        <f ca="1">IF(B532=0,"",IF(B532="no pick","No Pick",IF(LEFT(B532,LEN(B$10))=B$10,B$10,C$10)))</f>
        <v/>
      </c>
      <c r="H532" s="95" t="str">
        <f t="shared" ca="1" si="199"/>
        <v>0-0</v>
      </c>
      <c r="J532" s="97">
        <f>D$10</f>
        <v>1</v>
      </c>
      <c r="K532" s="95" t="str">
        <f t="shared" ca="1" si="200"/>
        <v>SR</v>
      </c>
      <c r="L532" s="95" t="str">
        <f t="shared" ca="1" si="201"/>
        <v>0</v>
      </c>
      <c r="M532" s="95" t="str">
        <f t="shared" ca="1" si="202"/>
        <v>0</v>
      </c>
      <c r="N532" s="95" t="str">
        <f t="shared" ca="1" si="203"/>
        <v>0</v>
      </c>
      <c r="O532" s="95" t="str">
        <f t="shared" ca="1" si="204"/>
        <v>0</v>
      </c>
      <c r="P532" s="95" t="str">
        <f t="shared" ca="1" si="205"/>
        <v>0</v>
      </c>
      <c r="Q532" s="95">
        <f ca="1">IF(AND(G532=T$10,LEN(G532)&gt;1),1,0)</f>
        <v>0</v>
      </c>
      <c r="R532" s="97">
        <f>Doubles!G$10</f>
        <v>9</v>
      </c>
      <c r="S532" s="95">
        <f ca="1">IF(AND(H532=H$10,LEN(H532)&gt;1,Q532=1),1,0)</f>
        <v>0</v>
      </c>
      <c r="V532" s="97">
        <f ca="1">VLOOKUP(9,R524:S547,2,0)</f>
        <v>0</v>
      </c>
      <c r="W532" s="95">
        <v>9</v>
      </c>
    </row>
    <row r="533" spans="1:23">
      <c r="A533" s="95">
        <v>10</v>
      </c>
      <c r="B533" s="95">
        <f ca="1">IF(Doubles!E100="",0,Doubles!E100)</f>
        <v>0</v>
      </c>
      <c r="C533" s="99" t="str">
        <f ca="1">IF(OR(LEFT(B533,LEN(B$11))=B$11,LEFT(B533,LEN(C$11))=C$11,LEN(B533)&lt;2),"",IF(B533="no pick","","Wrong pick"))</f>
        <v/>
      </c>
      <c r="E533" s="95">
        <f t="shared" ca="1" si="198"/>
        <v>1</v>
      </c>
      <c r="G533" s="95" t="str">
        <f ca="1">IF(B533=0,"",IF(B533="no pick","No Pick",IF(LEFT(B533,LEN(B$11))=B$11,B$11,C$11)))</f>
        <v/>
      </c>
      <c r="H533" s="95" t="str">
        <f t="shared" ca="1" si="199"/>
        <v>0-0</v>
      </c>
      <c r="J533" s="97">
        <f>D$11</f>
        <v>1</v>
      </c>
      <c r="K533" s="95" t="str">
        <f t="shared" ca="1" si="200"/>
        <v>SR</v>
      </c>
      <c r="L533" s="95" t="str">
        <f t="shared" ca="1" si="201"/>
        <v>0</v>
      </c>
      <c r="M533" s="95" t="str">
        <f t="shared" ca="1" si="202"/>
        <v>0</v>
      </c>
      <c r="N533" s="95" t="str">
        <f t="shared" ca="1" si="203"/>
        <v>0</v>
      </c>
      <c r="O533" s="95" t="str">
        <f t="shared" ca="1" si="204"/>
        <v>0</v>
      </c>
      <c r="P533" s="95" t="str">
        <f t="shared" ca="1" si="205"/>
        <v>0</v>
      </c>
      <c r="Q533" s="95">
        <f ca="1">IF(AND(G533=T$11,LEN(G533)&gt;1),1,0)</f>
        <v>0</v>
      </c>
      <c r="R533" s="97">
        <f>Doubles!G$11</f>
        <v>10</v>
      </c>
      <c r="S533" s="95">
        <f ca="1">IF(AND(H533=H$11,LEN(H533)&gt;1,Q533=1),1,0)</f>
        <v>0</v>
      </c>
      <c r="V533" s="97">
        <f ca="1">VLOOKUP(10,R524:S547,2,0)</f>
        <v>0</v>
      </c>
      <c r="W533" s="95">
        <v>10</v>
      </c>
    </row>
    <row r="534" spans="1:23">
      <c r="A534" s="95">
        <v>11</v>
      </c>
      <c r="B534" s="95">
        <f ca="1">IF(Doubles!E101="",0,Doubles!E101)</f>
        <v>0</v>
      </c>
      <c r="C534" s="99" t="str">
        <f ca="1">IF(OR(LEFT(B534,LEN(B$12))=B$12,LEFT(B534,LEN(C$12))=C$12,LEN(B534)&lt;2),"",IF(B534="no pick","","Wrong pick"))</f>
        <v/>
      </c>
      <c r="E534" s="95">
        <f t="shared" ca="1" si="198"/>
        <v>1</v>
      </c>
      <c r="G534" s="95" t="str">
        <f ca="1">IF(B534=0,"",IF(B534="no pick","No Pick",IF(LEFT(B534,LEN(B$12))=B$12,B$12,C$12)))</f>
        <v/>
      </c>
      <c r="H534" s="95" t="str">
        <f t="shared" ca="1" si="199"/>
        <v>0-0</v>
      </c>
      <c r="J534" s="97">
        <f>D$12</f>
        <v>1</v>
      </c>
      <c r="K534" s="95" t="str">
        <f t="shared" ca="1" si="200"/>
        <v>SR</v>
      </c>
      <c r="L534" s="95" t="str">
        <f t="shared" ca="1" si="201"/>
        <v>0</v>
      </c>
      <c r="M534" s="95" t="str">
        <f t="shared" ca="1" si="202"/>
        <v>0</v>
      </c>
      <c r="N534" s="95" t="str">
        <f t="shared" ca="1" si="203"/>
        <v>0</v>
      </c>
      <c r="O534" s="95" t="str">
        <f t="shared" ca="1" si="204"/>
        <v>0</v>
      </c>
      <c r="P534" s="95" t="str">
        <f t="shared" ca="1" si="205"/>
        <v>0</v>
      </c>
      <c r="Q534" s="95">
        <f ca="1">IF(AND(G534=T$12,LEN(G534)&gt;1),1,0)</f>
        <v>0</v>
      </c>
      <c r="R534" s="97">
        <f>Doubles!G$12</f>
        <v>11</v>
      </c>
      <c r="S534" s="95">
        <f ca="1">IF(AND(H534=H$12,LEN(H534)&gt;1,Q534=1),1,0)</f>
        <v>0</v>
      </c>
      <c r="V534" s="97">
        <f ca="1">VLOOKUP(11,R524:S547,2,0)</f>
        <v>0</v>
      </c>
      <c r="W534" s="95">
        <v>11</v>
      </c>
    </row>
    <row r="535" spans="1:23">
      <c r="A535" s="95">
        <v>12</v>
      </c>
      <c r="B535" s="95">
        <f ca="1">IF(Doubles!E102="",0,Doubles!E102)</f>
        <v>0</v>
      </c>
      <c r="C535" s="99" t="str">
        <f ca="1">IF(OR(LEFT(B535,LEN(B$13))=B$13,LEFT(B535,LEN(C$13))=C$13,LEN(B535)&lt;2),"",IF(B535="no pick","","Wrong pick"))</f>
        <v/>
      </c>
      <c r="E535" s="95">
        <f t="shared" ca="1" si="198"/>
        <v>1</v>
      </c>
      <c r="G535" s="95" t="str">
        <f ca="1">IF(B535=0,"",IF(B535="no pick","No Pick",IF(LEFT(B535,LEN(B$13))=B$13,B$13,C$13)))</f>
        <v/>
      </c>
      <c r="H535" s="95" t="str">
        <f t="shared" ca="1" si="199"/>
        <v>0-0</v>
      </c>
      <c r="J535" s="97">
        <f>D$13</f>
        <v>1</v>
      </c>
      <c r="K535" s="95" t="str">
        <f t="shared" ca="1" si="200"/>
        <v>SR</v>
      </c>
      <c r="L535" s="95" t="str">
        <f t="shared" ca="1" si="201"/>
        <v>0</v>
      </c>
      <c r="M535" s="95" t="str">
        <f t="shared" ca="1" si="202"/>
        <v>0</v>
      </c>
      <c r="N535" s="95" t="str">
        <f t="shared" ca="1" si="203"/>
        <v>0</v>
      </c>
      <c r="O535" s="95" t="str">
        <f t="shared" ca="1" si="204"/>
        <v>0</v>
      </c>
      <c r="P535" s="95" t="str">
        <f t="shared" ca="1" si="205"/>
        <v>0</v>
      </c>
      <c r="Q535" s="95">
        <f ca="1">IF(AND(G535=T$13,LEN(G535)&gt;1),1,0)</f>
        <v>0</v>
      </c>
      <c r="R535" s="97">
        <f>Doubles!G$13</f>
        <v>12</v>
      </c>
      <c r="S535" s="95">
        <f ca="1">IF(AND(H535=H$13,LEN(H535)&gt;1,Q535=1),1,0)</f>
        <v>0</v>
      </c>
      <c r="V535" s="97">
        <f ca="1">VLOOKUP(12,R524:S547,2,0)</f>
        <v>0</v>
      </c>
      <c r="W535" s="95">
        <v>12</v>
      </c>
    </row>
    <row r="536" spans="1:23">
      <c r="A536" s="95">
        <v>13</v>
      </c>
      <c r="B536" s="95">
        <f ca="1">IF(Doubles!E103="",0,Doubles!E103)</f>
        <v>0</v>
      </c>
      <c r="C536" s="99" t="str">
        <f ca="1">IF(OR(LEFT(B536,LEN(B$14))=B$14,LEFT(B536,LEN(C$14))=C$14,LEN(B536)&lt;2),"",IF(B536="no pick","","Wrong pick"))</f>
        <v/>
      </c>
      <c r="E536" s="95">
        <f t="shared" ca="1" si="198"/>
        <v>1</v>
      </c>
      <c r="G536" s="95" t="str">
        <f ca="1">IF(B536=0,"",IF(B536="no pick","No Pick",IF(LEFT(B536,LEN(B$14))=B$14,B$14,C$14)))</f>
        <v/>
      </c>
      <c r="H536" s="95" t="str">
        <f t="shared" ca="1" si="199"/>
        <v>0-0</v>
      </c>
      <c r="J536" s="97">
        <f>D$14</f>
        <v>1</v>
      </c>
      <c r="K536" s="95" t="str">
        <f t="shared" ca="1" si="200"/>
        <v>SR</v>
      </c>
      <c r="L536" s="95" t="str">
        <f t="shared" ca="1" si="201"/>
        <v>0</v>
      </c>
      <c r="M536" s="95" t="str">
        <f t="shared" ca="1" si="202"/>
        <v>0</v>
      </c>
      <c r="N536" s="95" t="str">
        <f t="shared" ca="1" si="203"/>
        <v>0</v>
      </c>
      <c r="O536" s="95" t="str">
        <f t="shared" ca="1" si="204"/>
        <v>0</v>
      </c>
      <c r="P536" s="95" t="str">
        <f t="shared" ca="1" si="205"/>
        <v>0</v>
      </c>
      <c r="Q536" s="95">
        <f ca="1">IF(AND(G536=T$14,LEN(G536)&gt;1),1,0)</f>
        <v>0</v>
      </c>
      <c r="R536" s="97">
        <f>Doubles!G$14</f>
        <v>13</v>
      </c>
      <c r="S536" s="95">
        <f ca="1">IF(AND(H536=H$14,LEN(H536)&gt;1,Q536=1),1,0)</f>
        <v>0</v>
      </c>
      <c r="V536" s="97">
        <f ca="1">VLOOKUP(13,R524:S547,2,0)</f>
        <v>0</v>
      </c>
      <c r="W536" s="95">
        <v>13</v>
      </c>
    </row>
    <row r="537" spans="1:23">
      <c r="A537" s="95">
        <v>14</v>
      </c>
      <c r="B537" s="95">
        <f ca="1">IF(Doubles!E104="",0,Doubles!E104)</f>
        <v>0</v>
      </c>
      <c r="C537" s="99" t="str">
        <f ca="1">IF(OR(LEFT(B537,LEN(B$15))=B$15,LEFT(B537,LEN(C$15))=C$15,LEN(B537)&lt;2),"",IF(B537="no pick","","Wrong pick"))</f>
        <v/>
      </c>
      <c r="E537" s="95">
        <f t="shared" ca="1" si="198"/>
        <v>1</v>
      </c>
      <c r="G537" s="95" t="str">
        <f ca="1">IF(B537=0,"",IF(B537="no pick","No Pick",IF(LEFT(B537,LEN(B$15))=B$15,B$15,C$15)))</f>
        <v/>
      </c>
      <c r="H537" s="95" t="str">
        <f t="shared" ca="1" si="199"/>
        <v>0-0</v>
      </c>
      <c r="J537" s="97">
        <f>D$15</f>
        <v>1</v>
      </c>
      <c r="K537" s="95" t="str">
        <f t="shared" ca="1" si="200"/>
        <v>SR</v>
      </c>
      <c r="L537" s="95" t="str">
        <f t="shared" ca="1" si="201"/>
        <v>0</v>
      </c>
      <c r="M537" s="95" t="str">
        <f t="shared" ca="1" si="202"/>
        <v>0</v>
      </c>
      <c r="N537" s="95" t="str">
        <f t="shared" ca="1" si="203"/>
        <v>0</v>
      </c>
      <c r="O537" s="95" t="str">
        <f t="shared" ca="1" si="204"/>
        <v>0</v>
      </c>
      <c r="P537" s="95" t="str">
        <f t="shared" ca="1" si="205"/>
        <v>0</v>
      </c>
      <c r="Q537" s="95">
        <f ca="1">IF(AND(G537=T$15,LEN(G537)&gt;1),1,0)</f>
        <v>0</v>
      </c>
      <c r="R537" s="97">
        <f>Doubles!G$15</f>
        <v>14</v>
      </c>
      <c r="S537" s="95">
        <f ca="1">IF(AND(H537=H$15,LEN(H537)&gt;1,Q537=1),1,0)</f>
        <v>0</v>
      </c>
      <c r="V537" s="97">
        <f ca="1">VLOOKUP(14,R524:S547,2,0)</f>
        <v>0</v>
      </c>
      <c r="W537" s="95">
        <v>14</v>
      </c>
    </row>
    <row r="538" spans="1:23">
      <c r="A538" s="95">
        <v>15</v>
      </c>
      <c r="B538" s="95">
        <f ca="1">IF(Doubles!E105="",0,Doubles!E105)</f>
        <v>0</v>
      </c>
      <c r="C538" s="99" t="str">
        <f ca="1">IF(OR(LEFT(B538,LEN(B$16))=B$16,LEFT(B538,LEN(C$16))=C$16,LEN(B538)&lt;2),"",IF(B538="no pick","","Wrong pick"))</f>
        <v/>
      </c>
      <c r="E538" s="95">
        <f t="shared" ca="1" si="198"/>
        <v>1</v>
      </c>
      <c r="G538" s="95" t="str">
        <f ca="1">IF(B538=0,"",IF(B538="no pick","No Pick",IF(LEFT(B538,LEN(B$16))=B$16,B$16,C$16)))</f>
        <v/>
      </c>
      <c r="H538" s="95" t="str">
        <f t="shared" ca="1" si="199"/>
        <v>0-0</v>
      </c>
      <c r="J538" s="97">
        <f>D$16</f>
        <v>1</v>
      </c>
      <c r="K538" s="95" t="str">
        <f t="shared" ca="1" si="200"/>
        <v>SR</v>
      </c>
      <c r="L538" s="95" t="str">
        <f t="shared" ca="1" si="201"/>
        <v>0</v>
      </c>
      <c r="M538" s="95" t="str">
        <f t="shared" ca="1" si="202"/>
        <v>0</v>
      </c>
      <c r="N538" s="95" t="str">
        <f t="shared" ca="1" si="203"/>
        <v>0</v>
      </c>
      <c r="O538" s="95" t="str">
        <f t="shared" ca="1" si="204"/>
        <v>0</v>
      </c>
      <c r="P538" s="95" t="str">
        <f t="shared" ca="1" si="205"/>
        <v>0</v>
      </c>
      <c r="Q538" s="95">
        <f ca="1">IF(AND(G538=T$16,LEN(G538)&gt;1),1,0)</f>
        <v>0</v>
      </c>
      <c r="R538" s="97">
        <f>Doubles!G$16</f>
        <v>15</v>
      </c>
      <c r="S538" s="95">
        <f ca="1">IF(AND(H538=H$16,LEN(H538)&gt;1,Q538=1),1,0)</f>
        <v>0</v>
      </c>
      <c r="V538" s="97">
        <f ca="1">VLOOKUP(15,R524:S547,2,0)</f>
        <v>0</v>
      </c>
      <c r="W538" s="95">
        <v>15</v>
      </c>
    </row>
    <row r="539" spans="1:23">
      <c r="A539" s="95">
        <v>16</v>
      </c>
      <c r="B539" s="95">
        <f ca="1">IF(Doubles!E106="",0,Doubles!E106)</f>
        <v>0</v>
      </c>
      <c r="C539" s="99" t="str">
        <f ca="1">IF(OR(LEFT(B539,LEN(B$17))=B$17,LEFT(B539,LEN(C$17))=C$17,LEN(B539)&lt;2),"",IF(B539="no pick","","Wrong pick"))</f>
        <v/>
      </c>
      <c r="E539" s="95">
        <f t="shared" ca="1" si="198"/>
        <v>1</v>
      </c>
      <c r="G539" s="95" t="str">
        <f ca="1">IF(B539=0,"",IF(B539="no pick","No Pick",IF(LEFT(B539,LEN(B$17))=B$17,B$17,C$17)))</f>
        <v/>
      </c>
      <c r="H539" s="95" t="str">
        <f t="shared" ca="1" si="199"/>
        <v>0-0</v>
      </c>
      <c r="J539" s="97">
        <f>D$17</f>
        <v>1</v>
      </c>
      <c r="K539" s="95" t="str">
        <f t="shared" ca="1" si="200"/>
        <v>SR</v>
      </c>
      <c r="L539" s="95" t="str">
        <f t="shared" ca="1" si="201"/>
        <v>0</v>
      </c>
      <c r="M539" s="95" t="str">
        <f t="shared" ca="1" si="202"/>
        <v>0</v>
      </c>
      <c r="N539" s="95" t="str">
        <f t="shared" ca="1" si="203"/>
        <v>0</v>
      </c>
      <c r="O539" s="95" t="str">
        <f t="shared" ca="1" si="204"/>
        <v>0</v>
      </c>
      <c r="P539" s="95" t="str">
        <f t="shared" ca="1" si="205"/>
        <v>0</v>
      </c>
      <c r="Q539" s="95">
        <f ca="1">IF(AND(G539=T$17,LEN(G539)&gt;1),1,0)</f>
        <v>0</v>
      </c>
      <c r="R539" s="97">
        <f>Doubles!G$17</f>
        <v>16</v>
      </c>
      <c r="S539" s="95">
        <f ca="1">IF(AND(H539=H$17,LEN(H539)&gt;1,Q539=1),1,0)</f>
        <v>0</v>
      </c>
      <c r="V539" s="97">
        <f ca="1">VLOOKUP(16,R524:S547,2,0)</f>
        <v>0</v>
      </c>
      <c r="W539" s="95">
        <v>16</v>
      </c>
    </row>
    <row r="540" spans="1:23">
      <c r="A540" s="95">
        <v>17</v>
      </c>
      <c r="B540" s="95">
        <f>IF(Doubles!E107="",0,Doubles!E107)</f>
        <v>0</v>
      </c>
      <c r="C540" s="99" t="str">
        <f>IF(OR(LEFT(B540,LEN(B$18))=B$18,LEFT(B540,LEN(C$18))=C$18,LEN(B540)&lt;2),"",IF(B540="no pick","","Wrong pick"))</f>
        <v/>
      </c>
      <c r="E540" s="95">
        <f t="shared" si="198"/>
        <v>0</v>
      </c>
      <c r="G540" s="95" t="str">
        <f>IF(B540=0,"",IF(B540="no pick","No Pick",IF(LEFT(B540,LEN(B$18))=B$18,B$18,C$18)))</f>
        <v/>
      </c>
      <c r="H540" s="95" t="str">
        <f t="shared" si="199"/>
        <v>0-0</v>
      </c>
      <c r="J540" s="95">
        <f>D$18</f>
        <v>0</v>
      </c>
      <c r="K540" s="95" t="str">
        <f t="shared" si="200"/>
        <v>SR</v>
      </c>
      <c r="L540" s="95" t="str">
        <f t="shared" si="201"/>
        <v>0</v>
      </c>
      <c r="M540" s="95" t="str">
        <f t="shared" si="202"/>
        <v>0</v>
      </c>
      <c r="N540" s="95" t="str">
        <f t="shared" si="203"/>
        <v>0</v>
      </c>
      <c r="O540" s="95" t="str">
        <f t="shared" si="204"/>
        <v>0</v>
      </c>
      <c r="P540" s="95" t="str">
        <f t="shared" si="205"/>
        <v>0</v>
      </c>
      <c r="Q540" s="95">
        <f>IF(AND(G540=T$18,LEN(G540)&gt;1),1,0)</f>
        <v>0</v>
      </c>
      <c r="R540" s="97">
        <f>Doubles!G$18</f>
        <v>17</v>
      </c>
      <c r="S540" s="95">
        <f>IF(AND(H540=H$18,LEN(H540)&gt;1,Q540=1),1,0)</f>
        <v>0</v>
      </c>
      <c r="V540" s="97">
        <f>VLOOKUP(17,R524:S547,2,0)</f>
        <v>0</v>
      </c>
      <c r="W540" s="95">
        <v>17</v>
      </c>
    </row>
    <row r="541" spans="1:23">
      <c r="A541" s="95">
        <v>18</v>
      </c>
      <c r="B541" s="95">
        <f>IF(Doubles!E108="",0,Doubles!E108)</f>
        <v>0</v>
      </c>
      <c r="C541" s="99" t="str">
        <f>IF(OR(LEFT(B541,LEN(B$19))=B$19,LEFT(B541,LEN(C$19))=C$19,LEN(B541)&lt;2),"",IF(B541="no pick","","Wrong pick"))</f>
        <v/>
      </c>
      <c r="E541" s="95">
        <f t="shared" si="198"/>
        <v>0</v>
      </c>
      <c r="G541" s="95" t="str">
        <f>IF(B541=0,"",IF(B541="no pick","No Pick",IF(LEFT(B541,LEN(B$19))=B$19,B$19,C$19)))</f>
        <v/>
      </c>
      <c r="H541" s="95" t="str">
        <f t="shared" si="199"/>
        <v>0-0</v>
      </c>
      <c r="J541" s="95">
        <f>D$19</f>
        <v>0</v>
      </c>
      <c r="K541" s="95" t="str">
        <f t="shared" si="200"/>
        <v>SR</v>
      </c>
      <c r="L541" s="95" t="str">
        <f t="shared" si="201"/>
        <v>0</v>
      </c>
      <c r="M541" s="95" t="str">
        <f t="shared" si="202"/>
        <v>0</v>
      </c>
      <c r="N541" s="95" t="str">
        <f t="shared" si="203"/>
        <v>0</v>
      </c>
      <c r="O541" s="95" t="str">
        <f t="shared" si="204"/>
        <v>0</v>
      </c>
      <c r="P541" s="95" t="str">
        <f t="shared" si="205"/>
        <v>0</v>
      </c>
      <c r="Q541" s="95">
        <f>IF(AND(G541=T$19,LEN(G541)&gt;1),1,0)</f>
        <v>0</v>
      </c>
      <c r="R541" s="97">
        <f>Doubles!G$19</f>
        <v>18</v>
      </c>
      <c r="S541" s="95">
        <f>IF(AND(H541=H$19,LEN(H541)&gt;1,Q541=1),1,0)</f>
        <v>0</v>
      </c>
      <c r="V541" s="97">
        <f>VLOOKUP(18,R524:S547,2,0)</f>
        <v>0</v>
      </c>
      <c r="W541" s="95">
        <v>18</v>
      </c>
    </row>
    <row r="542" spans="1:23">
      <c r="A542" s="95">
        <v>19</v>
      </c>
      <c r="B542" s="95">
        <f>IF(Doubles!E109="",0,Doubles!E109)</f>
        <v>0</v>
      </c>
      <c r="C542" s="99" t="str">
        <f>IF(OR(LEFT(B542,LEN(B$20))=B$20,LEFT(B542,LEN(C$20))=C$20,LEN(B542)&lt;2),"",IF(B542="no pick","","Wrong pick"))</f>
        <v/>
      </c>
      <c r="E542" s="95">
        <f t="shared" si="198"/>
        <v>0</v>
      </c>
      <c r="G542" s="95" t="str">
        <f>IF(B542=0,"",IF(B542="no pick","No Pick",IF(LEFT(B542,LEN(B$20))=B$20,B$20,C$20)))</f>
        <v/>
      </c>
      <c r="H542" s="95" t="str">
        <f t="shared" si="199"/>
        <v>0-0</v>
      </c>
      <c r="J542" s="95">
        <f>D$20</f>
        <v>0</v>
      </c>
      <c r="K542" s="95" t="str">
        <f t="shared" si="200"/>
        <v>SR</v>
      </c>
      <c r="L542" s="95" t="str">
        <f t="shared" si="201"/>
        <v>0</v>
      </c>
      <c r="M542" s="95" t="str">
        <f t="shared" si="202"/>
        <v>0</v>
      </c>
      <c r="N542" s="95" t="str">
        <f t="shared" si="203"/>
        <v>0</v>
      </c>
      <c r="O542" s="95" t="str">
        <f t="shared" si="204"/>
        <v>0</v>
      </c>
      <c r="P542" s="95" t="str">
        <f t="shared" si="205"/>
        <v>0</v>
      </c>
      <c r="Q542" s="95">
        <f>IF(AND(G542=T$20,LEN(G542)&gt;1),1,0)</f>
        <v>0</v>
      </c>
      <c r="R542" s="97">
        <f>Doubles!G$20</f>
        <v>19</v>
      </c>
      <c r="S542" s="95">
        <f>IF(AND(H542=H$20,LEN(H542)&gt;1,Q542=1),1,0)</f>
        <v>0</v>
      </c>
      <c r="V542" s="97">
        <f>VLOOKUP(19,R524:S547,2,0)</f>
        <v>0</v>
      </c>
      <c r="W542" s="95">
        <v>19</v>
      </c>
    </row>
    <row r="543" spans="1:23">
      <c r="A543" s="95">
        <v>20</v>
      </c>
      <c r="B543" s="95">
        <f>IF(Doubles!E110="",0,Doubles!E110)</f>
        <v>0</v>
      </c>
      <c r="C543" s="99" t="str">
        <f>IF(OR(LEFT(B543,LEN(B$21))=B$21,LEFT(B543,LEN(C$21))=C$21,LEN(B543)&lt;2),"",IF(B543="no pick","","Wrong pick"))</f>
        <v/>
      </c>
      <c r="E543" s="95">
        <f t="shared" si="198"/>
        <v>0</v>
      </c>
      <c r="G543" s="95" t="str">
        <f>IF(B543=0,"",IF(B543="no pick","No Pick",IF(LEFT(B543,LEN(B$21))=B$21,B$21,C$21)))</f>
        <v/>
      </c>
      <c r="H543" s="95" t="str">
        <f t="shared" si="199"/>
        <v>0-0</v>
      </c>
      <c r="J543" s="95">
        <f>D$21</f>
        <v>0</v>
      </c>
      <c r="K543" s="95" t="str">
        <f t="shared" si="200"/>
        <v>SR</v>
      </c>
      <c r="L543" s="95" t="str">
        <f t="shared" si="201"/>
        <v>0</v>
      </c>
      <c r="M543" s="95" t="str">
        <f t="shared" si="202"/>
        <v>0</v>
      </c>
      <c r="N543" s="95" t="str">
        <f t="shared" si="203"/>
        <v>0</v>
      </c>
      <c r="O543" s="95" t="str">
        <f t="shared" si="204"/>
        <v>0</v>
      </c>
      <c r="P543" s="95" t="str">
        <f t="shared" si="205"/>
        <v>0</v>
      </c>
      <c r="Q543" s="95">
        <f>IF(AND(G543=T$21,LEN(G543)&gt;1),1,0)</f>
        <v>0</v>
      </c>
      <c r="R543" s="97">
        <f>Doubles!G$21</f>
        <v>20</v>
      </c>
      <c r="S543" s="95">
        <f>IF(AND(H543=H$21,LEN(H543)&gt;1,Q543=1),1,0)</f>
        <v>0</v>
      </c>
      <c r="V543" s="97">
        <f>VLOOKUP(20,R524:S547,2,0)</f>
        <v>0</v>
      </c>
      <c r="W543" s="95">
        <v>20</v>
      </c>
    </row>
    <row r="544" spans="1:23">
      <c r="A544" s="95">
        <v>21</v>
      </c>
      <c r="B544" s="95">
        <f>IF(Doubles!E111="",0,Doubles!E111)</f>
        <v>0</v>
      </c>
      <c r="C544" s="99" t="str">
        <f>IF(OR(LEFT(B544,LEN(B$22))=B$22,LEFT(B544,LEN(C$22))=C$22,LEN(B544)&lt;2),"",IF(B544="no pick","","Wrong pick"))</f>
        <v/>
      </c>
      <c r="E544" s="95">
        <f t="shared" si="198"/>
        <v>0</v>
      </c>
      <c r="G544" s="95" t="str">
        <f>IF(B544=0,"",IF(B544="no pick","No Pick",IF(LEFT(B544,LEN(B$22))=B$22,B$22,C$22)))</f>
        <v/>
      </c>
      <c r="H544" s="95" t="str">
        <f t="shared" si="199"/>
        <v>0-0</v>
      </c>
      <c r="J544" s="95">
        <f>D$22</f>
        <v>0</v>
      </c>
      <c r="K544" s="95" t="str">
        <f t="shared" si="200"/>
        <v>SR</v>
      </c>
      <c r="L544" s="95" t="str">
        <f t="shared" si="201"/>
        <v>0</v>
      </c>
      <c r="M544" s="95" t="str">
        <f t="shared" si="202"/>
        <v>0</v>
      </c>
      <c r="N544" s="95" t="str">
        <f t="shared" si="203"/>
        <v>0</v>
      </c>
      <c r="O544" s="95" t="str">
        <f t="shared" si="204"/>
        <v>0</v>
      </c>
      <c r="P544" s="95" t="str">
        <f t="shared" si="205"/>
        <v>0</v>
      </c>
      <c r="Q544" s="95">
        <f>IF(AND(G544=T$22,LEN(G544)&gt;1),1,0)</f>
        <v>0</v>
      </c>
      <c r="R544" s="97">
        <f>Doubles!G$22</f>
        <v>21</v>
      </c>
      <c r="S544" s="95">
        <f>IF(AND(H544=H$22,LEN(H544)&gt;1,Q544=1),1,0)</f>
        <v>0</v>
      </c>
      <c r="V544" s="97">
        <f>VLOOKUP(21,R524:S547,2,0)</f>
        <v>0</v>
      </c>
      <c r="W544" s="95">
        <v>21</v>
      </c>
    </row>
    <row r="545" spans="1:29">
      <c r="A545" s="95">
        <v>22</v>
      </c>
      <c r="B545" s="95">
        <f>IF(Doubles!E112="",0,Doubles!E112)</f>
        <v>0</v>
      </c>
      <c r="C545" s="99" t="str">
        <f>IF(OR(LEFT(B545,LEN(B$23))=B$23,LEFT(B545,LEN(C$23))=C$23,LEN(B545)&lt;2),"",IF(B545="no pick","","Wrong pick"))</f>
        <v/>
      </c>
      <c r="E545" s="95">
        <f t="shared" si="198"/>
        <v>0</v>
      </c>
      <c r="G545" s="95" t="str">
        <f>IF(B545=0,"",IF(B545="no pick","No Pick",IF(LEFT(B545,LEN(B$23))=B$23,B$23,C$23)))</f>
        <v/>
      </c>
      <c r="H545" s="95" t="str">
        <f t="shared" si="199"/>
        <v>0-0</v>
      </c>
      <c r="J545" s="95">
        <f>D$23</f>
        <v>0</v>
      </c>
      <c r="K545" s="95" t="str">
        <f t="shared" si="200"/>
        <v>SR</v>
      </c>
      <c r="L545" s="95" t="str">
        <f t="shared" si="201"/>
        <v>0</v>
      </c>
      <c r="M545" s="95" t="str">
        <f t="shared" si="202"/>
        <v>0</v>
      </c>
      <c r="N545" s="95" t="str">
        <f t="shared" si="203"/>
        <v>0</v>
      </c>
      <c r="O545" s="95" t="str">
        <f t="shared" si="204"/>
        <v>0</v>
      </c>
      <c r="P545" s="95" t="str">
        <f t="shared" si="205"/>
        <v>0</v>
      </c>
      <c r="Q545" s="95">
        <f>IF(AND(G545=T$23,LEN(G545)&gt;1),1,0)</f>
        <v>0</v>
      </c>
      <c r="R545" s="97">
        <f>Doubles!G$23</f>
        <v>22</v>
      </c>
      <c r="S545" s="95">
        <f>IF(AND(H545=H$23,LEN(H545)&gt;1,Q545=1),1,0)</f>
        <v>0</v>
      </c>
      <c r="V545" s="97">
        <f>VLOOKUP(22,R524:S547,2,0)</f>
        <v>0</v>
      </c>
      <c r="W545" s="95">
        <v>22</v>
      </c>
    </row>
    <row r="546" spans="1:29">
      <c r="A546" s="95">
        <v>23</v>
      </c>
      <c r="B546" s="95">
        <f>IF(Doubles!E113="",0,Doubles!E113)</f>
        <v>0</v>
      </c>
      <c r="C546" s="99" t="str">
        <f>IF(OR(LEFT(B546,LEN(B$24))=B$24,LEFT(B546,LEN(C$24))=C$24,LEN(B546)&lt;2),"",IF(B546="no pick","","Wrong pick"))</f>
        <v/>
      </c>
      <c r="E546" s="95">
        <f t="shared" si="198"/>
        <v>0</v>
      </c>
      <c r="G546" s="95" t="str">
        <f>IF(B546=0,"",IF(B546="no pick","No Pick",IF(LEFT(B546,LEN(B$24))=B$24,B$24,C$24)))</f>
        <v/>
      </c>
      <c r="H546" s="95" t="str">
        <f t="shared" si="199"/>
        <v>0-0</v>
      </c>
      <c r="J546" s="95">
        <f>D$24</f>
        <v>0</v>
      </c>
      <c r="K546" s="95" t="str">
        <f t="shared" si="200"/>
        <v>SR</v>
      </c>
      <c r="L546" s="95" t="str">
        <f t="shared" si="201"/>
        <v>0</v>
      </c>
      <c r="M546" s="95" t="str">
        <f t="shared" si="202"/>
        <v>0</v>
      </c>
      <c r="N546" s="95" t="str">
        <f t="shared" si="203"/>
        <v>0</v>
      </c>
      <c r="O546" s="95" t="str">
        <f t="shared" si="204"/>
        <v>0</v>
      </c>
      <c r="P546" s="95" t="str">
        <f t="shared" si="205"/>
        <v>0</v>
      </c>
      <c r="Q546" s="95">
        <f>IF(AND(G546=T$24,LEN(G546)&gt;1),1,0)</f>
        <v>0</v>
      </c>
      <c r="R546" s="97">
        <f>Doubles!G$24</f>
        <v>23</v>
      </c>
      <c r="S546" s="95">
        <f>IF(AND(H546=H$24,LEN(H546)&gt;1,Q546=1),1,0)</f>
        <v>0</v>
      </c>
      <c r="V546" s="97">
        <f>VLOOKUP(23,R524:S547,2,0)</f>
        <v>0</v>
      </c>
      <c r="W546" s="95">
        <v>23</v>
      </c>
    </row>
    <row r="547" spans="1:29">
      <c r="A547" s="95">
        <v>24</v>
      </c>
      <c r="B547" s="95">
        <f>IF(Doubles!E114="",0,Doubles!E114)</f>
        <v>0</v>
      </c>
      <c r="C547" s="99" t="str">
        <f>IF(OR(LEFT(B547,LEN(B$25))=B$25,LEFT(B547,LEN(C$25))=C$25,LEN(B547)&lt;2),"",IF(B547="no pick","","Wrong pick"))</f>
        <v/>
      </c>
      <c r="E547" s="95">
        <f t="shared" si="198"/>
        <v>0</v>
      </c>
      <c r="G547" s="95" t="str">
        <f>IF(B547=0,"",IF(B547="no pick","No Pick",IF(LEFT(B547,LEN(B$25))=B$25,B$25,C$25)))</f>
        <v/>
      </c>
      <c r="H547" s="95" t="str">
        <f t="shared" si="199"/>
        <v>0-0</v>
      </c>
      <c r="J547" s="95">
        <f>D$25</f>
        <v>0</v>
      </c>
      <c r="K547" s="95" t="str">
        <f t="shared" si="200"/>
        <v>SR</v>
      </c>
      <c r="L547" s="95" t="str">
        <f t="shared" si="201"/>
        <v>0</v>
      </c>
      <c r="M547" s="95" t="str">
        <f t="shared" si="202"/>
        <v>0</v>
      </c>
      <c r="N547" s="95" t="str">
        <f t="shared" si="203"/>
        <v>0</v>
      </c>
      <c r="O547" s="95" t="str">
        <f t="shared" si="204"/>
        <v>0</v>
      </c>
      <c r="P547" s="95" t="str">
        <f t="shared" si="205"/>
        <v>0</v>
      </c>
      <c r="Q547" s="95">
        <f>IF(AND(G547=T$25,LEN(G547)&gt;1),1,0)</f>
        <v>0</v>
      </c>
      <c r="R547" s="97">
        <f>Doubles!G$25</f>
        <v>24</v>
      </c>
      <c r="S547" s="95">
        <f>IF(AND(H547=H$25,LEN(H547)&gt;1,Q547=1),1,0)</f>
        <v>0</v>
      </c>
      <c r="V547" s="97">
        <f>VLOOKUP(24,R524:S547,2,0)</f>
        <v>0</v>
      </c>
      <c r="W547" s="95">
        <v>24</v>
      </c>
    </row>
    <row r="548" spans="1:29">
      <c r="A548" s="106"/>
      <c r="B548" s="106"/>
      <c r="C548" s="107"/>
      <c r="D548" s="106"/>
      <c r="E548" s="106"/>
      <c r="Q548" s="106"/>
      <c r="R548" s="106"/>
      <c r="S548" s="106"/>
      <c r="W548" s="95">
        <v>25</v>
      </c>
    </row>
    <row r="549" spans="1:29">
      <c r="A549" s="95" t="e">
        <f>IF(LEN(VLOOKUP(B549,Doubles!$A$2:$D$17,4,0))&gt;0,VLOOKUP(B549,Doubles!$A$2:$D$17,4,0),"")</f>
        <v>#N/A</v>
      </c>
      <c r="B549" s="96">
        <f>Doubles!F90</f>
        <v>0</v>
      </c>
      <c r="C549" s="96">
        <v>1</v>
      </c>
      <c r="D549" s="95" t="e">
        <f>VLOOKUP(B549,Doubles!$A$2:$E$17,5,0)</f>
        <v>#N/A</v>
      </c>
      <c r="E549" s="95" t="s">
        <v>124</v>
      </c>
      <c r="J549" s="95" t="s">
        <v>88</v>
      </c>
      <c r="Q549" s="95" t="s">
        <v>121</v>
      </c>
      <c r="S549" s="95" t="s">
        <v>122</v>
      </c>
      <c r="T549" s="95" t="e">
        <f>IF(LEN(A549)&gt;0,"("&amp;A549&amp;") "&amp;B549,B549)</f>
        <v>#N/A</v>
      </c>
      <c r="V549" s="95" t="s">
        <v>122</v>
      </c>
      <c r="W549" s="95" t="str">
        <f>""</f>
        <v/>
      </c>
    </row>
    <row r="550" spans="1:29">
      <c r="A550" s="95">
        <v>1</v>
      </c>
      <c r="B550" s="95">
        <f ca="1">IF(Doubles!F91="",0,Doubles!F91)</f>
        <v>0</v>
      </c>
      <c r="C550" s="99" t="str">
        <f ca="1">IF(OR(LEFT(B550,LEN(B$2))=B$2,LEFT(B550,LEN(C$2))=C$2,LEN(B550)&lt;2),"",IF(B550="no pick","","Wrong pick"))</f>
        <v/>
      </c>
      <c r="D550" s="95">
        <f t="shared" ref="D550:D573" ca="1" si="206">IF(G550=G576,0,1)</f>
        <v>0</v>
      </c>
      <c r="E550" s="95">
        <f t="shared" ref="E550:E573" ca="1" si="207">IF(AND($I$2=J550,B550=0),1,0)</f>
        <v>1</v>
      </c>
      <c r="F550" s="95" t="str">
        <f ca="1">IF(AND(SUM(E550:E573)=$I$4,NOT(B549="Bye")),"Missing picks from "&amp;B549&amp;" ","")</f>
        <v xml:space="preserve">Missing picks from 0 </v>
      </c>
      <c r="G550" s="95" t="str">
        <f ca="1">IF(B550=0,"",IF(B550="no pick","No Pick",IF(LEFT(B550,LEN(B$2))=B$2,B$2,C$2)))</f>
        <v/>
      </c>
      <c r="H550" s="95" t="str">
        <f t="shared" ref="H550:H573" ca="1" si="208">IF(L550="","",IF(K550="PTS",IF(LEN(O550)&lt;8,"2-0","2-1"),LEFT(O550,1)&amp;"-"&amp;RIGHT(O550,1)))</f>
        <v>0-0</v>
      </c>
      <c r="I550" s="95" t="str">
        <f ca="1">IF(AND(J550=$I$2,F$2=0,NOT(E$2="")),IF(OR(AND(Y550=AA550,Z550=AB550),AND(Y550=AB550,Z550=AA550)),"",IF(AND(Y550=Z550,AA550=AB550),Y550&amp;" +2 v. "&amp;AA550&amp;" +2, ",IF(Y550=AA550,Z550&amp;" v. "&amp;AB550&amp;", ",IF(Z550=AB550,Y550&amp;" v. "&amp;AA550&amp;", ",IF(Y550=AB550,Z550&amp;" v. "&amp;AA550&amp;", ",IF(Z550=AA550,Y550&amp;" v. "&amp;AB550&amp;", ",Y550&amp;" v. "&amp;AA550&amp;", "&amp;Z550&amp;" v. "&amp;AB550&amp;", ")))))),"")</f>
        <v/>
      </c>
      <c r="J550" s="97">
        <f>D$2</f>
        <v>1</v>
      </c>
      <c r="K550" s="95" t="str">
        <f t="shared" ref="K550:K573" ca="1" si="209">IF(LEN(L550)&gt;0,IF(LEN(O550)&lt;4,"SR","PTS"),"")</f>
        <v>SR</v>
      </c>
      <c r="L550" s="95" t="str">
        <f t="shared" ref="L550:L573" ca="1" si="210">TRIM(RIGHT(B550,LEN(B550)-LEN(G550)))</f>
        <v>0</v>
      </c>
      <c r="M550" s="95" t="str">
        <f t="shared" ref="M550:M573" ca="1" si="211">SUBSTITUTE(L550,"-","")</f>
        <v>0</v>
      </c>
      <c r="N550" s="95" t="str">
        <f t="shared" ref="N550:N573" ca="1" si="212">SUBSTITUTE(M550,","," ")</f>
        <v>0</v>
      </c>
      <c r="O550" s="95" t="str">
        <f t="shared" ref="O550:O573" ca="1" si="213">IF(AND(LEN(TRIM(SUBSTITUTE(P550,"/","")))&gt;6,OR(LEFT(TRIM(SUBSTITUTE(P550,"/","")),2)="20",LEFT(TRIM(SUBSTITUTE(P550,"/","")),2)="21")),RIGHT(TRIM(SUBSTITUTE(P550,"/","")),LEN(TRIM(SUBSTITUTE(P550,"/","")))-3),TRIM(SUBSTITUTE(P550,"/","")))</f>
        <v>0</v>
      </c>
      <c r="P550" s="95" t="str">
        <f t="shared" ref="P550:P573" ca="1" si="214">SUBSTITUTE(N550,":","")</f>
        <v>0</v>
      </c>
      <c r="Q550" s="95">
        <f ca="1">IF(AND(G550=T$2,LEN(G550)&gt;1),1,0)</f>
        <v>0</v>
      </c>
      <c r="R550" s="97">
        <f>Doubles!G$2</f>
        <v>1</v>
      </c>
      <c r="S550" s="95">
        <f ca="1">IF(AND(H550=H$2,LEN(H550)&gt;1,Q550=1),1,0)</f>
        <v>0</v>
      </c>
      <c r="T550" s="95" t="str">
        <f ca="1">" SR Differences: "&amp;IF(LEN(I550&amp;I551&amp;I552&amp;I553&amp;I554&amp;I555&amp;I556&amp;I557&amp;I558&amp;I559&amp;I560&amp;I561&amp;I562&amp;I563&amp;I564&amp;I565&amp;I566&amp;I567&amp;I568&amp;I569&amp;I570&amp;I571&amp;I572&amp;I573)&lt;3,"None..",I550&amp;I551&amp;I552&amp;I553&amp;I554&amp;I555&amp;I556&amp;I557&amp;I558&amp;I559&amp;I560&amp;I561&amp;I562&amp;I563&amp;I564&amp;I565&amp;I566&amp;I567&amp;I568&amp;I569&amp;I570&amp;I571&amp;I572&amp;I573)</f>
        <v xml:space="preserve"> SR Differences: None..</v>
      </c>
      <c r="V550" s="97">
        <f ca="1">VLOOKUP(1,R550:S573,2,0)</f>
        <v>0</v>
      </c>
      <c r="W550" s="95" t="str">
        <f t="shared" ref="W550:W573" ca="1" si="215">IF(J550=$I$2,IF(OR(G550&amp;G602=G576&amp;G628,G550&amp;G602=G628&amp;G576),"",IF(G550=G602,G550,IF(OR(G550=G576,G550=G628),G602,IF(OR(G602=G576,G602=G628),G550,G550&amp;", "&amp;G602)))),"")</f>
        <v/>
      </c>
      <c r="X550" s="95">
        <f ca="1">IF(F$2=0,IF(AND(G550=G602,NOT(G550=G576),NOT(G550=G628),LEN(W550)&gt;0),2,IF(LEN(W550)=0,0,1)),0)</f>
        <v>0</v>
      </c>
      <c r="Y550" s="95" t="str">
        <f t="shared" ref="Y550:Y573" ca="1" si="216">G550&amp;" "&amp;H550</f>
        <v xml:space="preserve"> 0-0</v>
      </c>
      <c r="Z550" s="95" t="str">
        <f t="shared" ref="Z550:Z573" ca="1" si="217">G602&amp;" "&amp;H602</f>
        <v xml:space="preserve"> 0-0</v>
      </c>
      <c r="AA550" s="95" t="str">
        <f t="shared" ref="AA550:AA573" ca="1" si="218">G576&amp;" "&amp;H576</f>
        <v xml:space="preserve"> 0-0</v>
      </c>
      <c r="AB550" s="95" t="str">
        <f t="shared" ref="AB550:AB573" ca="1" si="219">G628&amp;" "&amp;H628</f>
        <v xml:space="preserve"> 0-0</v>
      </c>
      <c r="AC550" s="95" t="str">
        <f ca="1">IF(AND(LEN(W550)&gt;0,F$2=0),IF(X550=2,W550&amp;" +2, ",W550&amp;", "),"")</f>
        <v/>
      </c>
    </row>
    <row r="551" spans="1:29">
      <c r="A551" s="95">
        <v>2</v>
      </c>
      <c r="B551" s="95">
        <f ca="1">IF(Doubles!F92="",0,Doubles!F92)</f>
        <v>0</v>
      </c>
      <c r="C551" s="99" t="str">
        <f ca="1">IF(OR(LEFT(B551,LEN(B$3))=B$3,LEFT(B551,LEN(C$3))=C$3,LEN(B551)&lt;2),"",IF(B551="no pick","","Wrong pick"))</f>
        <v/>
      </c>
      <c r="D551" s="95">
        <f t="shared" ca="1" si="206"/>
        <v>0</v>
      </c>
      <c r="E551" s="95">
        <f t="shared" ca="1" si="207"/>
        <v>1</v>
      </c>
      <c r="G551" s="95" t="str">
        <f ca="1">IF(B551=0,"",IF(B551="no pick","No Pick",IF(LEFT(B551,LEN(B$3))=B$3,B$3,C$3)))</f>
        <v/>
      </c>
      <c r="H551" s="95" t="str">
        <f t="shared" ca="1" si="208"/>
        <v>0-0</v>
      </c>
      <c r="I551" s="95" t="str">
        <f ca="1">IF(AND(J551=$I$2,F$3=0,NOT(E$3="")),IF(OR(AND(Y551=AA551,Z551=AB551),AND(Y551=AB551,Z551=AA551)),"",IF(AND(Y551=Z551,AA551=AB551),Y551&amp;" +2 v. "&amp;AA551&amp;" +2, ",IF(Y551=AA551,Z551&amp;" v. "&amp;AB551&amp;", ",IF(Z551=AB551,Y551&amp;" v. "&amp;AA551&amp;", ",IF(Y551=AB551,Z551&amp;" v. "&amp;AA551&amp;", ",IF(Z551=AA551,Y551&amp;" v. "&amp;AB551&amp;", ",Y551&amp;" v. "&amp;AA551&amp;", "&amp;Z551&amp;" v. "&amp;AB551&amp;", ")))))),"")</f>
        <v/>
      </c>
      <c r="J551" s="97">
        <f>D$3</f>
        <v>1</v>
      </c>
      <c r="K551" s="95" t="str">
        <f t="shared" ca="1" si="209"/>
        <v>SR</v>
      </c>
      <c r="L551" s="95" t="str">
        <f t="shared" ca="1" si="210"/>
        <v>0</v>
      </c>
      <c r="M551" s="95" t="str">
        <f t="shared" ca="1" si="211"/>
        <v>0</v>
      </c>
      <c r="N551" s="95" t="str">
        <f t="shared" ca="1" si="212"/>
        <v>0</v>
      </c>
      <c r="O551" s="95" t="str">
        <f t="shared" ca="1" si="213"/>
        <v>0</v>
      </c>
      <c r="P551" s="95" t="str">
        <f t="shared" ca="1" si="214"/>
        <v>0</v>
      </c>
      <c r="Q551" s="95">
        <f ca="1">IF(AND(G551=T$3,LEN(G551)&gt;1),1,0)</f>
        <v>0</v>
      </c>
      <c r="R551" s="97">
        <f>Doubles!G$3</f>
        <v>2</v>
      </c>
      <c r="S551" s="95">
        <f ca="1">IF(AND(H551=H$3,LEN(H551)&gt;1,Q551=1),1,0)</f>
        <v>0</v>
      </c>
      <c r="V551" s="97">
        <f ca="1">VLOOKUP(2,R550:S573,2,0)</f>
        <v>0</v>
      </c>
      <c r="W551" s="95" t="str">
        <f t="shared" ca="1" si="215"/>
        <v/>
      </c>
      <c r="X551" s="95">
        <f ca="1">IF(F$3=0,IF(AND(G551=G603,NOT(G551=G577),NOT(G551=G629),LEN(W551)&gt;0),2,IF(LEN(W551)=0,0,1)),0)</f>
        <v>0</v>
      </c>
      <c r="Y551" s="95" t="str">
        <f t="shared" ca="1" si="216"/>
        <v xml:space="preserve"> 0-0</v>
      </c>
      <c r="Z551" s="95" t="str">
        <f t="shared" ca="1" si="217"/>
        <v xml:space="preserve"> 0-0</v>
      </c>
      <c r="AA551" s="95" t="str">
        <f t="shared" ca="1" si="218"/>
        <v xml:space="preserve"> 0-0</v>
      </c>
      <c r="AB551" s="95" t="str">
        <f t="shared" ca="1" si="219"/>
        <v xml:space="preserve"> 0-0</v>
      </c>
      <c r="AC551" s="95" t="str">
        <f ca="1">IF(AND(LEN(W551)&gt;0,F$3=0),IF(X551=2,W551&amp;" +2, ",W551&amp;", "),"")</f>
        <v/>
      </c>
    </row>
    <row r="552" spans="1:29">
      <c r="A552" s="95">
        <v>3</v>
      </c>
      <c r="B552" s="95">
        <f ca="1">IF(Doubles!F93="",0,Doubles!F93)</f>
        <v>0</v>
      </c>
      <c r="C552" s="99" t="str">
        <f ca="1">IF(OR(LEFT(B552,LEN(B$4))=B$4,LEFT(B552,LEN(C$4))=C$4,LEN(B552)&lt;2),"",IF(B552="no pick","","Wrong pick"))</f>
        <v/>
      </c>
      <c r="D552" s="95">
        <f t="shared" ca="1" si="206"/>
        <v>0</v>
      </c>
      <c r="E552" s="95">
        <f t="shared" ca="1" si="207"/>
        <v>1</v>
      </c>
      <c r="G552" s="95" t="str">
        <f ca="1">IF(B552=0,"",IF(B552="no pick","No Pick",IF(LEFT(B552,LEN(B$4))=B$4,B$4,C$4)))</f>
        <v/>
      </c>
      <c r="H552" s="95" t="str">
        <f t="shared" ca="1" si="208"/>
        <v>0-0</v>
      </c>
      <c r="I552" s="95" t="str">
        <f ca="1">IF(AND(J552=$I$2,F$4=0,NOT(E$4="")),IF(OR(AND(Y552=AA552,Z552=AB552),AND(Y552=AB552,Z552=AA552)),"",IF(AND(Y552=Z552,AA552=AB552),Y552&amp;" +2 v. "&amp;AA552&amp;" +2, ",IF(Y552=AA552,Z552&amp;" v. "&amp;AB552&amp;", ",IF(Z552=AB552,Y552&amp;" v. "&amp;AA552&amp;", ",IF(Y552=AB552,Z552&amp;" v. "&amp;AA552&amp;", ",IF(Z552=AA552,Y552&amp;" v. "&amp;AB552&amp;", ",Y552&amp;" v. "&amp;AA552&amp;", "&amp;Z552&amp;" v. "&amp;AB552&amp;", ")))))),"")</f>
        <v/>
      </c>
      <c r="J552" s="97">
        <f>D$4</f>
        <v>1</v>
      </c>
      <c r="K552" s="95" t="str">
        <f t="shared" ca="1" si="209"/>
        <v>SR</v>
      </c>
      <c r="L552" s="95" t="str">
        <f t="shared" ca="1" si="210"/>
        <v>0</v>
      </c>
      <c r="M552" s="95" t="str">
        <f t="shared" ca="1" si="211"/>
        <v>0</v>
      </c>
      <c r="N552" s="95" t="str">
        <f t="shared" ca="1" si="212"/>
        <v>0</v>
      </c>
      <c r="O552" s="95" t="str">
        <f t="shared" ca="1" si="213"/>
        <v>0</v>
      </c>
      <c r="P552" s="95" t="str">
        <f t="shared" ca="1" si="214"/>
        <v>0</v>
      </c>
      <c r="Q552" s="95">
        <f ca="1">IF(AND(G552=T$4,LEN(G552)&gt;1),1,0)</f>
        <v>0</v>
      </c>
      <c r="R552" s="97">
        <f>Doubles!G$4</f>
        <v>3</v>
      </c>
      <c r="S552" s="95">
        <f ca="1">IF(AND(H552=H$4,LEN(H552)&gt;1,Q552=1),1,0)</f>
        <v>0</v>
      </c>
      <c r="T552" s="101">
        <f ca="1">SUMIF(J550:J573,$I$2,X550:X573)</f>
        <v>0</v>
      </c>
      <c r="V552" s="97">
        <f ca="1">VLOOKUP(3,R550:S573,2,0)</f>
        <v>0</v>
      </c>
      <c r="W552" s="95" t="str">
        <f t="shared" ca="1" si="215"/>
        <v/>
      </c>
      <c r="X552" s="95">
        <f ca="1">IF(F$4=0,IF(AND(G552=G604,NOT(G552=G578),NOT(G552=G630),LEN(W552)&gt;0),2,IF(LEN(W552)=0,0,1)),0)</f>
        <v>0</v>
      </c>
      <c r="Y552" s="95" t="str">
        <f t="shared" ca="1" si="216"/>
        <v xml:space="preserve"> 0-0</v>
      </c>
      <c r="Z552" s="95" t="str">
        <f t="shared" ca="1" si="217"/>
        <v xml:space="preserve"> 0-0</v>
      </c>
      <c r="AA552" s="95" t="str">
        <f t="shared" ca="1" si="218"/>
        <v xml:space="preserve"> 0-0</v>
      </c>
      <c r="AB552" s="95" t="str">
        <f t="shared" ca="1" si="219"/>
        <v xml:space="preserve"> 0-0</v>
      </c>
      <c r="AC552" s="95" t="str">
        <f ca="1">IF(AND(LEN(W552)&gt;0,F$4=0),IF(X552=2,W552&amp;" +2, ",W552&amp;", "),"")</f>
        <v/>
      </c>
    </row>
    <row r="553" spans="1:29">
      <c r="A553" s="95">
        <v>4</v>
      </c>
      <c r="B553" s="95">
        <f ca="1">IF(Doubles!F94="",0,Doubles!F94)</f>
        <v>0</v>
      </c>
      <c r="C553" s="99" t="str">
        <f ca="1">IF(OR(LEFT(B553,LEN(B$5))=B$5,LEFT(B553,LEN(C$5))=C$5,LEN(B553)&lt;2),"",IF(B553="no pick","","Wrong pick"))</f>
        <v/>
      </c>
      <c r="D553" s="95">
        <f t="shared" ca="1" si="206"/>
        <v>0</v>
      </c>
      <c r="E553" s="95">
        <f t="shared" ca="1" si="207"/>
        <v>1</v>
      </c>
      <c r="G553" s="95" t="str">
        <f ca="1">IF(B553=0,"",IF(B553="no pick","No Pick",IF(LEFT(B553,LEN(B$5))=B$5,B$5,C$5)))</f>
        <v/>
      </c>
      <c r="H553" s="95" t="str">
        <f t="shared" ca="1" si="208"/>
        <v>0-0</v>
      </c>
      <c r="I553" s="95" t="str">
        <f ca="1">IF(AND(J553=$I$2,F$5=0,NOT(E$5="")),IF(OR(AND(Y553=AA553,Z553=AB553),AND(Y553=AB553,Z553=AA553)),"",IF(AND(Y553=Z553,AA553=AB553),Y553&amp;" +2 v. "&amp;AA553&amp;" +2, ",IF(Y553=AA553,Z553&amp;" v. "&amp;AB553&amp;", ",IF(Z553=AB553,Y553&amp;" v. "&amp;AA553&amp;", ",IF(Y553=AB553,Z553&amp;" v. "&amp;AA553&amp;", ",IF(Z553=AA553,Y553&amp;" v. "&amp;AB553&amp;", ",Y553&amp;" v. "&amp;AA553&amp;", "&amp;Z553&amp;" v. "&amp;AB553&amp;", ")))))),"")</f>
        <v/>
      </c>
      <c r="J553" s="97">
        <f>D$5</f>
        <v>1</v>
      </c>
      <c r="K553" s="95" t="str">
        <f t="shared" ca="1" si="209"/>
        <v>SR</v>
      </c>
      <c r="L553" s="95" t="str">
        <f t="shared" ca="1" si="210"/>
        <v>0</v>
      </c>
      <c r="M553" s="95" t="str">
        <f t="shared" ca="1" si="211"/>
        <v>0</v>
      </c>
      <c r="N553" s="95" t="str">
        <f t="shared" ca="1" si="212"/>
        <v>0</v>
      </c>
      <c r="O553" s="95" t="str">
        <f t="shared" ca="1" si="213"/>
        <v>0</v>
      </c>
      <c r="P553" s="95" t="str">
        <f t="shared" ca="1" si="214"/>
        <v>0</v>
      </c>
      <c r="Q553" s="95">
        <f ca="1">IF(AND(G553=T$5,LEN(G553)&gt;1),1,0)</f>
        <v>0</v>
      </c>
      <c r="R553" s="97">
        <f>Doubles!G$5</f>
        <v>4</v>
      </c>
      <c r="S553" s="95">
        <f ca="1">IF(AND(H553=H$5,LEN(H553)&gt;1,Q553=1),1,0)</f>
        <v>0</v>
      </c>
      <c r="T553" s="95" t="s">
        <v>113</v>
      </c>
      <c r="U553" s="95" t="e">
        <f ca="1">IF(COUNTIF(C550:C651,"=Wrong Pick")&gt;0,"Incorrect pick, probably a spelling mistake",IF(T559&lt;10,"0","")&amp;T559&amp;":"&amp;IF(T560&lt;10,"0","")&amp;T560&amp;" | [b]"&amp;IF(LEN(U554)&gt;0,U554,T549&amp;"/"&amp;T601&amp;IF(LEN(D549)&gt;1," ("&amp;D549&amp;"/"&amp;D601&amp;")","")&amp;"[/b] vs. [b]"&amp;T575&amp;"/"&amp;T627&amp;IF(LEN(D575)&gt;1," ("&amp;D575&amp;"/"&amp;D627&amp;")","")&amp;"[/b]"&amp;IF(Doubles!$D$21&gt;1," (SR "&amp;U559&amp;":"&amp;U560&amp;")","")&amp;" - "&amp;IF(AND(F550="",F576="",F602="",F628=""),IF(LEN(U605)&gt;1,LEFT(U605,LEN(U605)-2)&amp;" vs. "&amp;LEFT(U606,LEN(U606)-2),IF(SUM(F$2:F$25)=0,"Same Winners; ",""))&amp;IF(AND(OR(AND(Doubles!$D$20&gt;1,Doubles!$D$21&lt;Doubles!$D$20),MOD(T552+T559+T560,2)=0),NOT(Doubles!$D$23="No")),LEFT(T550,LEN(T550)-2),""),F550&amp;F576&amp;F602&amp;F628)))</f>
        <v>#N/A</v>
      </c>
      <c r="V553" s="97">
        <f ca="1">VLOOKUP(4,R550:S573,2,0)</f>
        <v>0</v>
      </c>
      <c r="W553" s="95" t="str">
        <f t="shared" ca="1" si="215"/>
        <v/>
      </c>
      <c r="X553" s="95">
        <f ca="1">IF(F$5=0,IF(AND(G553=G605,NOT(G553=G579),NOT(G553=G631),LEN(W553)&gt;0),2,IF(LEN(W553)=0,0,1)),0)</f>
        <v>0</v>
      </c>
      <c r="Y553" s="95" t="str">
        <f t="shared" ca="1" si="216"/>
        <v xml:space="preserve"> 0-0</v>
      </c>
      <c r="Z553" s="95" t="str">
        <f t="shared" ca="1" si="217"/>
        <v xml:space="preserve"> 0-0</v>
      </c>
      <c r="AA553" s="95" t="str">
        <f t="shared" ca="1" si="218"/>
        <v xml:space="preserve"> 0-0</v>
      </c>
      <c r="AB553" s="95" t="str">
        <f t="shared" ca="1" si="219"/>
        <v xml:space="preserve"> 0-0</v>
      </c>
      <c r="AC553" s="95" t="str">
        <f ca="1">IF(AND(LEN(W553)&gt;0,F$5=0),IF(X553=2,W553&amp;" +2, ",W553&amp;", "),"")</f>
        <v/>
      </c>
    </row>
    <row r="554" spans="1:29">
      <c r="A554" s="95">
        <v>5</v>
      </c>
      <c r="B554" s="95">
        <f ca="1">IF(Doubles!F95="",0,Doubles!F95)</f>
        <v>0</v>
      </c>
      <c r="C554" s="99" t="str">
        <f ca="1">IF(OR(LEFT(B554,LEN(B$6))=B$6,LEFT(B554,LEN(C$6))=C$6,LEN(B554)&lt;2),"",IF(B554="no pick","","Wrong pick"))</f>
        <v/>
      </c>
      <c r="D554" s="95">
        <f t="shared" ca="1" si="206"/>
        <v>0</v>
      </c>
      <c r="E554" s="95">
        <f t="shared" ca="1" si="207"/>
        <v>1</v>
      </c>
      <c r="G554" s="95" t="str">
        <f ca="1">IF(B554=0,"",IF(B554="no pick","No Pick",IF(LEFT(B554,LEN(B$6))=B$6,B$6,C$6)))</f>
        <v/>
      </c>
      <c r="H554" s="95" t="str">
        <f t="shared" ca="1" si="208"/>
        <v>0-0</v>
      </c>
      <c r="I554" s="95" t="str">
        <f ca="1">IF(AND(J554=$I$2,F$6=0,NOT(E$6="")),IF(OR(AND(Y554=AA554,Z554=AB554),AND(Y554=AB554,Z554=AA554)),"",IF(AND(Y554=Z554,AA554=AB554),Y554&amp;" +2 v. "&amp;AA554&amp;" +2, ",IF(Y554=AA554,Z554&amp;" v. "&amp;AB554&amp;", ",IF(Z554=AB554,Y554&amp;" v. "&amp;AA554&amp;", ",IF(Y554=AB554,Z554&amp;" v. "&amp;AA554&amp;", ",IF(Z554=AA554,Y554&amp;" v. "&amp;AB554&amp;", ",Y554&amp;" v. "&amp;AA554&amp;", "&amp;Z554&amp;" v. "&amp;AB554&amp;", ")))))),"")</f>
        <v/>
      </c>
      <c r="J554" s="97">
        <f>D$6</f>
        <v>1</v>
      </c>
      <c r="K554" s="95" t="str">
        <f t="shared" ca="1" si="209"/>
        <v>SR</v>
      </c>
      <c r="L554" s="95" t="str">
        <f t="shared" ca="1" si="210"/>
        <v>0</v>
      </c>
      <c r="M554" s="95" t="str">
        <f t="shared" ca="1" si="211"/>
        <v>0</v>
      </c>
      <c r="N554" s="95" t="str">
        <f t="shared" ca="1" si="212"/>
        <v>0</v>
      </c>
      <c r="O554" s="95" t="str">
        <f t="shared" ca="1" si="213"/>
        <v>0</v>
      </c>
      <c r="P554" s="95" t="str">
        <f t="shared" ca="1" si="214"/>
        <v>0</v>
      </c>
      <c r="Q554" s="95">
        <f ca="1">IF(AND(G554=T$6,LEN(G554)&gt;1),1,0)</f>
        <v>0</v>
      </c>
      <c r="R554" s="97">
        <f>Doubles!G$6</f>
        <v>5</v>
      </c>
      <c r="S554" s="95">
        <f ca="1">IF(AND(H554=H$6,LEN(H554)&gt;1,Q554=1),1,0)</f>
        <v>0</v>
      </c>
      <c r="U554" s="95" t="str">
        <f>IF(B549="Bye","Bye[/b] vs. [b][color=blue]"&amp;T575&amp;"/"&amp;T627&amp;IF(LEN(D575)&gt;1," ("&amp;D575&amp;"/"&amp;D627&amp;")","")&amp;"[/color][/b]",IF(B575="Bye","[color=blue]"&amp;T549&amp;"/"&amp;T601&amp;IF(LEN(D549)&gt;1," ("&amp;D549&amp;"/"&amp;D601&amp;")","")&amp;"[/color][/b] vs. [b]Bye[/b]",""))</f>
        <v/>
      </c>
      <c r="V554" s="97">
        <f ca="1">VLOOKUP(5,R550:S573,2,0)</f>
        <v>0</v>
      </c>
      <c r="W554" s="95" t="str">
        <f t="shared" ca="1" si="215"/>
        <v/>
      </c>
      <c r="X554" s="95">
        <f ca="1">IF(F$6=0,IF(AND(G554=G606,NOT(G554=G580),NOT(G554=G632),LEN(W554)&gt;0),2,IF(LEN(W554)=0,0,1)),0)</f>
        <v>0</v>
      </c>
      <c r="Y554" s="95" t="str">
        <f t="shared" ca="1" si="216"/>
        <v xml:space="preserve"> 0-0</v>
      </c>
      <c r="Z554" s="95" t="str">
        <f t="shared" ca="1" si="217"/>
        <v xml:space="preserve"> 0-0</v>
      </c>
      <c r="AA554" s="95" t="str">
        <f t="shared" ca="1" si="218"/>
        <v xml:space="preserve"> 0-0</v>
      </c>
      <c r="AB554" s="95" t="str">
        <f t="shared" ca="1" si="219"/>
        <v xml:space="preserve"> 0-0</v>
      </c>
      <c r="AC554" s="95" t="str">
        <f ca="1">IF(AND(LEN(W554)&gt;0,F$6=0),IF(X554=2,W554&amp;" +2, ",W554&amp;", "),"")</f>
        <v/>
      </c>
    </row>
    <row r="555" spans="1:29">
      <c r="A555" s="95">
        <v>6</v>
      </c>
      <c r="B555" s="95">
        <f ca="1">IF(Doubles!F96="",0,Doubles!F96)</f>
        <v>0</v>
      </c>
      <c r="C555" s="99" t="str">
        <f ca="1">IF(OR(LEFT(B555,LEN(B$7))=B$7,LEFT(B555,LEN(C$7))=C$7,LEN(B555)&lt;2),"",IF(B555="no pick","","Wrong pick"))</f>
        <v/>
      </c>
      <c r="D555" s="95">
        <f t="shared" ca="1" si="206"/>
        <v>0</v>
      </c>
      <c r="E555" s="95">
        <f t="shared" ca="1" si="207"/>
        <v>1</v>
      </c>
      <c r="G555" s="95" t="str">
        <f ca="1">IF(B555=0,"",IF(B555="no pick","No Pick",IF(LEFT(B555,LEN(B$7))=B$7,B$7,C$7)))</f>
        <v/>
      </c>
      <c r="H555" s="95" t="str">
        <f t="shared" ca="1" si="208"/>
        <v>0-0</v>
      </c>
      <c r="I555" s="95" t="str">
        <f ca="1">IF(AND(J555=$I$2,F$7=0,NOT(E$7="")),IF(OR(AND(Y555=AA555,Z555=AB555),AND(Y555=AB555,Z555=AA555)),"",IF(AND(Y555=Z555,AA555=AB555),Y555&amp;" +2 v. "&amp;AA555&amp;" +2, ",IF(Y555=AA555,Z555&amp;" v. "&amp;AB555&amp;", ",IF(Z555=AB555,Y555&amp;" v. "&amp;AA555&amp;", ",IF(Y555=AB555,Z555&amp;" v. "&amp;AA555&amp;", ",IF(Z555=AA555,Y555&amp;" v. "&amp;AB555&amp;", ",Y555&amp;" v. "&amp;AA555&amp;", "&amp;Z555&amp;" v. "&amp;AB555&amp;", ")))))),"")</f>
        <v/>
      </c>
      <c r="J555" s="97">
        <f>D$7</f>
        <v>1</v>
      </c>
      <c r="K555" s="95" t="str">
        <f t="shared" ca="1" si="209"/>
        <v>SR</v>
      </c>
      <c r="L555" s="95" t="str">
        <f t="shared" ca="1" si="210"/>
        <v>0</v>
      </c>
      <c r="M555" s="95" t="str">
        <f t="shared" ca="1" si="211"/>
        <v>0</v>
      </c>
      <c r="N555" s="95" t="str">
        <f t="shared" ca="1" si="212"/>
        <v>0</v>
      </c>
      <c r="O555" s="95" t="str">
        <f t="shared" ca="1" si="213"/>
        <v>0</v>
      </c>
      <c r="P555" s="95" t="str">
        <f t="shared" ca="1" si="214"/>
        <v>0</v>
      </c>
      <c r="Q555" s="95">
        <f ca="1">IF(AND(G555=T$7,LEN(G555)&gt;1),1,0)</f>
        <v>0</v>
      </c>
      <c r="R555" s="97">
        <f>Doubles!G$7</f>
        <v>6</v>
      </c>
      <c r="S555" s="95">
        <f ca="1">IF(AND(H555=H$7,LEN(H555)&gt;1,Q555=1),1,0)</f>
        <v>0</v>
      </c>
      <c r="T555" s="105">
        <f ca="1">SUM(Q550:Q573)</f>
        <v>0</v>
      </c>
      <c r="U555" s="97">
        <f ca="1">SUM(S550:S573)</f>
        <v>0</v>
      </c>
      <c r="V555" s="97">
        <f ca="1">VLOOKUP(6,R550:S573,2,0)</f>
        <v>0</v>
      </c>
      <c r="W555" s="95" t="str">
        <f t="shared" ca="1" si="215"/>
        <v/>
      </c>
      <c r="X555" s="95">
        <f ca="1">IF(F$7=0,IF(AND(G555=G607,NOT(G555=G581),NOT(G555=G633),LEN(W555)&gt;0),2,IF(LEN(W555)=0,0,1)),0)</f>
        <v>0</v>
      </c>
      <c r="Y555" s="95" t="str">
        <f t="shared" ca="1" si="216"/>
        <v xml:space="preserve"> 0-0</v>
      </c>
      <c r="Z555" s="95" t="str">
        <f t="shared" ca="1" si="217"/>
        <v xml:space="preserve"> 0-0</v>
      </c>
      <c r="AA555" s="95" t="str">
        <f t="shared" ca="1" si="218"/>
        <v xml:space="preserve"> 0-0</v>
      </c>
      <c r="AB555" s="95" t="str">
        <f t="shared" ca="1" si="219"/>
        <v xml:space="preserve"> 0-0</v>
      </c>
      <c r="AC555" s="95" t="str">
        <f ca="1">IF(AND(LEN(W555)&gt;0,F$7=0),IF(X555=2,W555&amp;" +2, ",W555&amp;", "),"")</f>
        <v/>
      </c>
    </row>
    <row r="556" spans="1:29">
      <c r="A556" s="95">
        <v>7</v>
      </c>
      <c r="B556" s="95">
        <f ca="1">IF(Doubles!F97="",0,Doubles!F97)</f>
        <v>0</v>
      </c>
      <c r="C556" s="99" t="str">
        <f ca="1">IF(OR(LEFT(B556,LEN(B$8))=B$8,LEFT(B556,LEN(C$8))=C$8,LEN(B556)&lt;2),"",IF(B556="no pick","","Wrong pick"))</f>
        <v/>
      </c>
      <c r="D556" s="95">
        <f t="shared" ca="1" si="206"/>
        <v>0</v>
      </c>
      <c r="E556" s="95">
        <f t="shared" ca="1" si="207"/>
        <v>1</v>
      </c>
      <c r="G556" s="95" t="str">
        <f ca="1">IF(B556=0,"",IF(B556="no pick","No Pick",IF(LEFT(B556,LEN(B$8))=B$8,B$8,C$8)))</f>
        <v/>
      </c>
      <c r="H556" s="95" t="str">
        <f t="shared" ca="1" si="208"/>
        <v>0-0</v>
      </c>
      <c r="I556" s="95" t="str">
        <f ca="1">IF(AND(J556=$I$2,F$8=0,NOT(E$8="")),IF(OR(AND(Y556=AA556,Z556=AB556),AND(Y556=AB556,Z556=AA556)),"",IF(AND(Y556=Z556,AA556=AB556),Y556&amp;" +2 v. "&amp;AA556&amp;" +2, ",IF(Y556=AA556,Z556&amp;" v. "&amp;AB556&amp;", ",IF(Z556=AB556,Y556&amp;" v. "&amp;AA556&amp;", ",IF(Y556=AB556,Z556&amp;" v. "&amp;AA556&amp;", ",IF(Z556=AA556,Y556&amp;" v. "&amp;AB556&amp;", ",Y556&amp;" v. "&amp;AA556&amp;", "&amp;Z556&amp;" v. "&amp;AB556&amp;", ")))))),"")</f>
        <v/>
      </c>
      <c r="J556" s="97">
        <f>D$8</f>
        <v>1</v>
      </c>
      <c r="K556" s="95" t="str">
        <f t="shared" ca="1" si="209"/>
        <v>SR</v>
      </c>
      <c r="L556" s="95" t="str">
        <f t="shared" ca="1" si="210"/>
        <v>0</v>
      </c>
      <c r="M556" s="95" t="str">
        <f t="shared" ca="1" si="211"/>
        <v>0</v>
      </c>
      <c r="N556" s="95" t="str">
        <f t="shared" ca="1" si="212"/>
        <v>0</v>
      </c>
      <c r="O556" s="95" t="str">
        <f t="shared" ca="1" si="213"/>
        <v>0</v>
      </c>
      <c r="P556" s="95" t="str">
        <f t="shared" ca="1" si="214"/>
        <v>0</v>
      </c>
      <c r="Q556" s="95">
        <f ca="1">IF(AND(G556=T$8,LEN(G556)&gt;1),1,0)</f>
        <v>0</v>
      </c>
      <c r="R556" s="97">
        <f>Doubles!G$8</f>
        <v>7</v>
      </c>
      <c r="S556" s="95">
        <f ca="1">IF(AND(H556=H$8,LEN(H556)&gt;1,Q556=1),1,0)</f>
        <v>0</v>
      </c>
      <c r="T556" s="105">
        <f ca="1">SUM(Q576:Q599)</f>
        <v>0</v>
      </c>
      <c r="U556" s="97">
        <f ca="1">SUM(S576:S599)</f>
        <v>0</v>
      </c>
      <c r="V556" s="97">
        <f ca="1">VLOOKUP(7,R550:S573,2,0)</f>
        <v>0</v>
      </c>
      <c r="W556" s="95" t="str">
        <f t="shared" ca="1" si="215"/>
        <v/>
      </c>
      <c r="X556" s="95">
        <f ca="1">IF(F$8=0,IF(AND(G556=G608,NOT(G556=G582),NOT(G556=G634),LEN(W556)&gt;0),2,IF(LEN(W556)=0,0,1)),0)</f>
        <v>0</v>
      </c>
      <c r="Y556" s="95" t="str">
        <f t="shared" ca="1" si="216"/>
        <v xml:space="preserve"> 0-0</v>
      </c>
      <c r="Z556" s="95" t="str">
        <f t="shared" ca="1" si="217"/>
        <v xml:space="preserve"> 0-0</v>
      </c>
      <c r="AA556" s="95" t="str">
        <f t="shared" ca="1" si="218"/>
        <v xml:space="preserve"> 0-0</v>
      </c>
      <c r="AB556" s="95" t="str">
        <f t="shared" ca="1" si="219"/>
        <v xml:space="preserve"> 0-0</v>
      </c>
      <c r="AC556" s="95" t="str">
        <f ca="1">IF(AND(LEN(W556)&gt;0,F$8=0),IF(X556=2,W556&amp;" +2, ",W556&amp;", "),"")</f>
        <v/>
      </c>
    </row>
    <row r="557" spans="1:29">
      <c r="A557" s="95">
        <v>8</v>
      </c>
      <c r="B557" s="95">
        <f ca="1">IF(Doubles!F98="",0,Doubles!F98)</f>
        <v>0</v>
      </c>
      <c r="C557" s="99" t="str">
        <f ca="1">IF(OR(LEFT(B557,LEN(B$9))=B$9,LEFT(B557,LEN(C$9))=C$9,LEN(B557)&lt;2),"",IF(B557="no pick","","Wrong pick"))</f>
        <v/>
      </c>
      <c r="D557" s="95">
        <f t="shared" ca="1" si="206"/>
        <v>0</v>
      </c>
      <c r="E557" s="95">
        <f t="shared" ca="1" si="207"/>
        <v>1</v>
      </c>
      <c r="G557" s="95" t="str">
        <f ca="1">IF(B557=0,"",IF(B557="no pick","No Pick",IF(LEFT(B557,LEN(B$9))=B$9,B$9,C$9)))</f>
        <v/>
      </c>
      <c r="H557" s="95" t="str">
        <f t="shared" ca="1" si="208"/>
        <v>0-0</v>
      </c>
      <c r="I557" s="95" t="str">
        <f ca="1">IF(AND(J557=$I$2,F$9=0,NOT(E$9="")),IF(OR(AND(Y557=AA557,Z557=AB557),AND(Y557=AB557,Z557=AA557)),"",IF(AND(Y557=Z557,AA557=AB557),Y557&amp;" +2 v. "&amp;AA557&amp;" +2, ",IF(Y557=AA557,Z557&amp;" v. "&amp;AB557&amp;", ",IF(Z557=AB557,Y557&amp;" v. "&amp;AA557&amp;", ",IF(Y557=AB557,Z557&amp;" v. "&amp;AA557&amp;", ",IF(Z557=AA557,Y557&amp;" v. "&amp;AB557&amp;", ",Y557&amp;" v. "&amp;AA557&amp;", "&amp;Z557&amp;" v. "&amp;AB557&amp;", ")))))),"")</f>
        <v/>
      </c>
      <c r="J557" s="97">
        <f>D$9</f>
        <v>1</v>
      </c>
      <c r="K557" s="95" t="str">
        <f t="shared" ca="1" si="209"/>
        <v>SR</v>
      </c>
      <c r="L557" s="95" t="str">
        <f t="shared" ca="1" si="210"/>
        <v>0</v>
      </c>
      <c r="M557" s="95" t="str">
        <f t="shared" ca="1" si="211"/>
        <v>0</v>
      </c>
      <c r="N557" s="95" t="str">
        <f t="shared" ca="1" si="212"/>
        <v>0</v>
      </c>
      <c r="O557" s="95" t="str">
        <f t="shared" ca="1" si="213"/>
        <v>0</v>
      </c>
      <c r="P557" s="95" t="str">
        <f t="shared" ca="1" si="214"/>
        <v>0</v>
      </c>
      <c r="Q557" s="95">
        <f ca="1">IF(AND(G557=T$9,LEN(G557)&gt;1),1,0)</f>
        <v>0</v>
      </c>
      <c r="R557" s="97">
        <f>Doubles!G$9</f>
        <v>8</v>
      </c>
      <c r="S557" s="95">
        <f ca="1">IF(AND(H557=H$9,LEN(H557)&gt;1,Q557=1),1,0)</f>
        <v>0</v>
      </c>
      <c r="V557" s="97">
        <f ca="1">VLOOKUP(8,R550:S573,2,0)</f>
        <v>0</v>
      </c>
      <c r="W557" s="95" t="str">
        <f t="shared" ca="1" si="215"/>
        <v/>
      </c>
      <c r="X557" s="95">
        <f ca="1">IF(F$9=0,IF(AND(G557=G609,NOT(G557=G583),NOT(G557=G635),LEN(W557)&gt;0),2,IF(LEN(W557)=0,0,1)),0)</f>
        <v>0</v>
      </c>
      <c r="Y557" s="95" t="str">
        <f t="shared" ca="1" si="216"/>
        <v xml:space="preserve"> 0-0</v>
      </c>
      <c r="Z557" s="95" t="str">
        <f t="shared" ca="1" si="217"/>
        <v xml:space="preserve"> 0-0</v>
      </c>
      <c r="AA557" s="95" t="str">
        <f t="shared" ca="1" si="218"/>
        <v xml:space="preserve"> 0-0</v>
      </c>
      <c r="AB557" s="95" t="str">
        <f t="shared" ca="1" si="219"/>
        <v xml:space="preserve"> 0-0</v>
      </c>
      <c r="AC557" s="95" t="str">
        <f ca="1">IF(AND(LEN(W557)&gt;0,F$9=0),IF(X557=2,W557&amp;" +2, ",W557&amp;", "),"")</f>
        <v/>
      </c>
    </row>
    <row r="558" spans="1:29">
      <c r="A558" s="95">
        <v>9</v>
      </c>
      <c r="B558" s="95">
        <f ca="1">IF(Doubles!F99="",0,Doubles!F99)</f>
        <v>0</v>
      </c>
      <c r="C558" s="99" t="str">
        <f ca="1">IF(OR(LEFT(B558,LEN(B$10))=B$10,LEFT(B558,LEN(C$10))=C$10,LEN(B558)&lt;2),"",IF(B558="no pick","","Wrong pick"))</f>
        <v/>
      </c>
      <c r="D558" s="95">
        <f t="shared" ca="1" si="206"/>
        <v>0</v>
      </c>
      <c r="E558" s="95">
        <f t="shared" ca="1" si="207"/>
        <v>1</v>
      </c>
      <c r="G558" s="95" t="str">
        <f ca="1">IF(B558=0,"",IF(B558="no pick","No Pick",IF(LEFT(B558,LEN(B$10))=B$10,B$10,C$10)))</f>
        <v/>
      </c>
      <c r="H558" s="95" t="str">
        <f t="shared" ca="1" si="208"/>
        <v>0-0</v>
      </c>
      <c r="I558" s="95" t="str">
        <f ca="1">IF(AND(J558=$I$2,F$10=0,NOT(E$10="")),IF(OR(AND(Y558=AA558,Z558=AB558),AND(Y558=AB558,Z558=AA558)),"",IF(AND(Y558=Z558,AA558=AB558),Y558&amp;" +2 v. "&amp;AA558&amp;" +2, ",IF(Y558=AA558,Z558&amp;" v. "&amp;AB558&amp;", ",IF(Z558=AB558,Y558&amp;" v. "&amp;AA558&amp;", ",IF(Y558=AB558,Z558&amp;" v. "&amp;AA558&amp;", ",IF(Z558=AA558,Y558&amp;" v. "&amp;AB558&amp;", ",Y558&amp;" v. "&amp;AA558&amp;", "&amp;Z558&amp;" v. "&amp;AB558&amp;", ")))))),"")</f>
        <v/>
      </c>
      <c r="J558" s="97">
        <f>D$10</f>
        <v>1</v>
      </c>
      <c r="K558" s="95" t="str">
        <f t="shared" ca="1" si="209"/>
        <v>SR</v>
      </c>
      <c r="L558" s="95" t="str">
        <f t="shared" ca="1" si="210"/>
        <v>0</v>
      </c>
      <c r="M558" s="95" t="str">
        <f t="shared" ca="1" si="211"/>
        <v>0</v>
      </c>
      <c r="N558" s="95" t="str">
        <f t="shared" ca="1" si="212"/>
        <v>0</v>
      </c>
      <c r="O558" s="95" t="str">
        <f t="shared" ca="1" si="213"/>
        <v>0</v>
      </c>
      <c r="P558" s="95" t="str">
        <f t="shared" ca="1" si="214"/>
        <v>0</v>
      </c>
      <c r="Q558" s="95">
        <f ca="1">IF(AND(G558=T$10,LEN(G558)&gt;1),1,0)</f>
        <v>0</v>
      </c>
      <c r="R558" s="97">
        <f>Doubles!G$10</f>
        <v>9</v>
      </c>
      <c r="S558" s="95">
        <f ca="1">IF(AND(H558=H$10,LEN(H558)&gt;1,Q558=1),1,0)</f>
        <v>0</v>
      </c>
      <c r="T558" s="95" t="e">
        <f>VLOOKUP("Winner",T576:U600,2,0)</f>
        <v>#N/A</v>
      </c>
      <c r="U558" s="95" t="e">
        <f>VLOOKUP(T558,U576:W600,3,0)</f>
        <v>#N/A</v>
      </c>
      <c r="V558" s="97">
        <f ca="1">VLOOKUP(9,R550:S573,2,0)</f>
        <v>0</v>
      </c>
      <c r="W558" s="95" t="str">
        <f t="shared" ca="1" si="215"/>
        <v/>
      </c>
      <c r="X558" s="95">
        <f ca="1">IF(F$10=0,IF(AND(G558=G610,NOT(G558=G584),NOT(G558=G636),LEN(W558)&gt;0),2,IF(LEN(W558)=0,0,1)),0)</f>
        <v>0</v>
      </c>
      <c r="Y558" s="95" t="str">
        <f t="shared" ca="1" si="216"/>
        <v xml:space="preserve"> 0-0</v>
      </c>
      <c r="Z558" s="95" t="str">
        <f t="shared" ca="1" si="217"/>
        <v xml:space="preserve"> 0-0</v>
      </c>
      <c r="AA558" s="95" t="str">
        <f t="shared" ca="1" si="218"/>
        <v xml:space="preserve"> 0-0</v>
      </c>
      <c r="AB558" s="95" t="str">
        <f t="shared" ca="1" si="219"/>
        <v xml:space="preserve"> 0-0</v>
      </c>
      <c r="AC558" s="95" t="str">
        <f ca="1">IF(AND(LEN(W558)&gt;0,F$10=0),IF(X558=2,W558&amp;" +2, ",W558&amp;", "),"")</f>
        <v/>
      </c>
    </row>
    <row r="559" spans="1:29">
      <c r="A559" s="95">
        <v>10</v>
      </c>
      <c r="B559" s="95">
        <f ca="1">IF(Doubles!F100="",0,Doubles!F100)</f>
        <v>0</v>
      </c>
      <c r="C559" s="99" t="str">
        <f ca="1">IF(OR(LEFT(B559,LEN(B$11))=B$11,LEFT(B559,LEN(C$11))=C$11,LEN(B559)&lt;2),"",IF(B559="no pick","","Wrong pick"))</f>
        <v/>
      </c>
      <c r="D559" s="95">
        <f t="shared" ca="1" si="206"/>
        <v>0</v>
      </c>
      <c r="E559" s="95">
        <f t="shared" ca="1" si="207"/>
        <v>1</v>
      </c>
      <c r="G559" s="95" t="str">
        <f ca="1">IF(B559=0,"",IF(B559="no pick","No Pick",IF(LEFT(B559,LEN(B$11))=B$11,B$11,C$11)))</f>
        <v/>
      </c>
      <c r="H559" s="95" t="str">
        <f t="shared" ca="1" si="208"/>
        <v>0-0</v>
      </c>
      <c r="I559" s="95" t="str">
        <f ca="1">IF(AND(J559=$I$2,F$11=0,NOT(E$11="")),IF(OR(AND(Y559=AA559,Z559=AB559),AND(Y559=AB559,Z559=AA559)),"",IF(AND(Y559=Z559,AA559=AB559),Y559&amp;" +2 v. "&amp;AA559&amp;" +2, ",IF(Y559=AA559,Z559&amp;" v. "&amp;AB559&amp;", ",IF(Z559=AB559,Y559&amp;" v. "&amp;AA559&amp;", ",IF(Y559=AB559,Z559&amp;" v. "&amp;AA559&amp;", ",IF(Z559=AA559,Y559&amp;" v. "&amp;AB559&amp;", ",Y559&amp;" v. "&amp;AA559&amp;", "&amp;Z559&amp;" v. "&amp;AB559&amp;", ")))))),"")</f>
        <v/>
      </c>
      <c r="J559" s="97">
        <f>D$11</f>
        <v>1</v>
      </c>
      <c r="K559" s="95" t="str">
        <f t="shared" ca="1" si="209"/>
        <v>SR</v>
      </c>
      <c r="L559" s="95" t="str">
        <f t="shared" ca="1" si="210"/>
        <v>0</v>
      </c>
      <c r="M559" s="95" t="str">
        <f t="shared" ca="1" si="211"/>
        <v>0</v>
      </c>
      <c r="N559" s="95" t="str">
        <f t="shared" ca="1" si="212"/>
        <v>0</v>
      </c>
      <c r="O559" s="95" t="str">
        <f t="shared" ca="1" si="213"/>
        <v>0</v>
      </c>
      <c r="P559" s="95" t="str">
        <f t="shared" ca="1" si="214"/>
        <v>0</v>
      </c>
      <c r="Q559" s="95">
        <f ca="1">IF(AND(G559=T$11,LEN(G559)&gt;1),1,0)</f>
        <v>0</v>
      </c>
      <c r="R559" s="97">
        <f>Doubles!G$11</f>
        <v>10</v>
      </c>
      <c r="S559" s="95">
        <f ca="1">IF(AND(H559=H$11,LEN(H559)&gt;1,Q559=1),1,0)</f>
        <v>0</v>
      </c>
      <c r="T559" s="97">
        <f ca="1">T555+T607</f>
        <v>0</v>
      </c>
      <c r="U559" s="95">
        <f ca="1">U555+U607</f>
        <v>0</v>
      </c>
      <c r="V559" s="97">
        <f ca="1">VLOOKUP(10,R550:S573,2,0)</f>
        <v>0</v>
      </c>
      <c r="W559" s="95" t="str">
        <f t="shared" ca="1" si="215"/>
        <v/>
      </c>
      <c r="X559" s="95">
        <f ca="1">IF(F$11=0,IF(AND(G559=G611,NOT(G559=G585),NOT(G559=G637),LEN(W559)&gt;0),2,IF(LEN(W559)=0,0,1)),0)</f>
        <v>0</v>
      </c>
      <c r="Y559" s="95" t="str">
        <f t="shared" ca="1" si="216"/>
        <v xml:space="preserve"> 0-0</v>
      </c>
      <c r="Z559" s="95" t="str">
        <f t="shared" ca="1" si="217"/>
        <v xml:space="preserve"> 0-0</v>
      </c>
      <c r="AA559" s="95" t="str">
        <f t="shared" ca="1" si="218"/>
        <v xml:space="preserve"> 0-0</v>
      </c>
      <c r="AB559" s="95" t="str">
        <f t="shared" ca="1" si="219"/>
        <v xml:space="preserve"> 0-0</v>
      </c>
      <c r="AC559" s="95" t="str">
        <f ca="1">IF(AND(LEN(W559)&gt;0,F$11=0),IF(X559=2,W559&amp;" +2, ",W559&amp;", "),"")</f>
        <v/>
      </c>
    </row>
    <row r="560" spans="1:29">
      <c r="A560" s="95">
        <v>11</v>
      </c>
      <c r="B560" s="95">
        <f ca="1">IF(Doubles!F101="",0,Doubles!F101)</f>
        <v>0</v>
      </c>
      <c r="C560" s="99" t="str">
        <f ca="1">IF(OR(LEFT(B560,LEN(B$12))=B$12,LEFT(B560,LEN(C$12))=C$12,LEN(B560)&lt;2),"",IF(B560="no pick","","Wrong pick"))</f>
        <v/>
      </c>
      <c r="D560" s="95">
        <f t="shared" ca="1" si="206"/>
        <v>0</v>
      </c>
      <c r="E560" s="95">
        <f t="shared" ca="1" si="207"/>
        <v>1</v>
      </c>
      <c r="G560" s="95" t="str">
        <f ca="1">IF(B560=0,"",IF(B560="no pick","No Pick",IF(LEFT(B560,LEN(B$12))=B$12,B$12,C$12)))</f>
        <v/>
      </c>
      <c r="H560" s="95" t="str">
        <f t="shared" ca="1" si="208"/>
        <v>0-0</v>
      </c>
      <c r="I560" s="95" t="str">
        <f ca="1">IF(AND(J560=$I$2,F$12=0,NOT(E$12="")),IF(OR(AND(Y560=AA560,Z560=AB560),AND(Y560=AB560,Z560=AA560)),"",IF(AND(Y560=Z560,AA560=AB560),Y560&amp;" +2 v. "&amp;AA560&amp;" +2, ",IF(Y560=AA560,Z560&amp;" v. "&amp;AB560&amp;", ",IF(Z560=AB560,Y560&amp;" v. "&amp;AA560&amp;", ",IF(Y560=AB560,Z560&amp;" v. "&amp;AA560&amp;", ",IF(Z560=AA560,Y560&amp;" v. "&amp;AB560&amp;", ",Y560&amp;" v. "&amp;AA560&amp;", "&amp;Z560&amp;" v. "&amp;AB560&amp;", ")))))),"")</f>
        <v/>
      </c>
      <c r="J560" s="97">
        <f>D$12</f>
        <v>1</v>
      </c>
      <c r="K560" s="95" t="str">
        <f t="shared" ca="1" si="209"/>
        <v>SR</v>
      </c>
      <c r="L560" s="95" t="str">
        <f t="shared" ca="1" si="210"/>
        <v>0</v>
      </c>
      <c r="M560" s="95" t="str">
        <f t="shared" ca="1" si="211"/>
        <v>0</v>
      </c>
      <c r="N560" s="95" t="str">
        <f t="shared" ca="1" si="212"/>
        <v>0</v>
      </c>
      <c r="O560" s="95" t="str">
        <f t="shared" ca="1" si="213"/>
        <v>0</v>
      </c>
      <c r="P560" s="95" t="str">
        <f t="shared" ca="1" si="214"/>
        <v>0</v>
      </c>
      <c r="Q560" s="95">
        <f ca="1">IF(AND(G560=T$12,LEN(G560)&gt;1),1,0)</f>
        <v>0</v>
      </c>
      <c r="R560" s="97">
        <f>Doubles!G$12</f>
        <v>11</v>
      </c>
      <c r="S560" s="95">
        <f ca="1">IF(AND(H560=H$12,LEN(H560)&gt;1,Q560=1),1,0)</f>
        <v>0</v>
      </c>
      <c r="T560" s="97">
        <f ca="1">T556+T608</f>
        <v>0</v>
      </c>
      <c r="U560" s="95">
        <f ca="1">U556+U608</f>
        <v>0</v>
      </c>
      <c r="V560" s="97">
        <f ca="1">VLOOKUP(11,R550:S573,2,0)</f>
        <v>0</v>
      </c>
      <c r="W560" s="95" t="str">
        <f t="shared" ca="1" si="215"/>
        <v/>
      </c>
      <c r="X560" s="95">
        <f ca="1">IF(F$12=0,IF(AND(G560=G612,NOT(G560=G586),NOT(G560=G638),LEN(W560)&gt;0),2,IF(LEN(W560)=0,0,1)),0)</f>
        <v>0</v>
      </c>
      <c r="Y560" s="95" t="str">
        <f t="shared" ca="1" si="216"/>
        <v xml:space="preserve"> 0-0</v>
      </c>
      <c r="Z560" s="95" t="str">
        <f t="shared" ca="1" si="217"/>
        <v xml:space="preserve"> 0-0</v>
      </c>
      <c r="AA560" s="95" t="str">
        <f t="shared" ca="1" si="218"/>
        <v xml:space="preserve"> 0-0</v>
      </c>
      <c r="AB560" s="95" t="str">
        <f t="shared" ca="1" si="219"/>
        <v xml:space="preserve"> 0-0</v>
      </c>
      <c r="AC560" s="95" t="str">
        <f ca="1">IF(AND(LEN(W560)&gt;0,F$12=0),IF(X560=2,W560&amp;" +2, ",W560&amp;", "),"")</f>
        <v/>
      </c>
    </row>
    <row r="561" spans="1:29">
      <c r="A561" s="95">
        <v>12</v>
      </c>
      <c r="B561" s="95">
        <f ca="1">IF(Doubles!F102="",0,Doubles!F102)</f>
        <v>0</v>
      </c>
      <c r="C561" s="99" t="str">
        <f ca="1">IF(OR(LEFT(B561,LEN(B$13))=B$13,LEFT(B561,LEN(C$13))=C$13,LEN(B561)&lt;2),"",IF(B561="no pick","","Wrong pick"))</f>
        <v/>
      </c>
      <c r="D561" s="95">
        <f t="shared" ca="1" si="206"/>
        <v>0</v>
      </c>
      <c r="E561" s="95">
        <f t="shared" ca="1" si="207"/>
        <v>1</v>
      </c>
      <c r="G561" s="95" t="str">
        <f ca="1">IF(B561=0,"",IF(B561="no pick","No Pick",IF(LEFT(B561,LEN(B$13))=B$13,B$13,C$13)))</f>
        <v/>
      </c>
      <c r="H561" s="95" t="str">
        <f t="shared" ca="1" si="208"/>
        <v>0-0</v>
      </c>
      <c r="I561" s="95" t="str">
        <f ca="1">IF(AND(J561=$I$2,F$13=0,NOT(E$13="")),IF(OR(AND(Y561=AA561,Z561=AB561),AND(Y561=AB561,Z561=AA561)),"",IF(AND(Y561=Z561,AA561=AB561),Y561&amp;" +2 v. "&amp;AA561&amp;" +2, ",IF(Y561=AA561,Z561&amp;" v. "&amp;AB561&amp;", ",IF(Z561=AB561,Y561&amp;" v. "&amp;AA561&amp;", ",IF(Y561=AB561,Z561&amp;" v. "&amp;AA561&amp;", ",IF(Z561=AA561,Y561&amp;" v. "&amp;AB561&amp;", ",Y561&amp;" v. "&amp;AA561&amp;", "&amp;Z561&amp;" v. "&amp;AB561&amp;", ")))))),"")</f>
        <v/>
      </c>
      <c r="J561" s="97">
        <f>D$13</f>
        <v>1</v>
      </c>
      <c r="K561" s="95" t="str">
        <f t="shared" ca="1" si="209"/>
        <v>SR</v>
      </c>
      <c r="L561" s="95" t="str">
        <f t="shared" ca="1" si="210"/>
        <v>0</v>
      </c>
      <c r="M561" s="95" t="str">
        <f t="shared" ca="1" si="211"/>
        <v>0</v>
      </c>
      <c r="N561" s="95" t="str">
        <f t="shared" ca="1" si="212"/>
        <v>0</v>
      </c>
      <c r="O561" s="95" t="str">
        <f t="shared" ca="1" si="213"/>
        <v>0</v>
      </c>
      <c r="P561" s="95" t="str">
        <f t="shared" ca="1" si="214"/>
        <v>0</v>
      </c>
      <c r="Q561" s="95">
        <f ca="1">IF(AND(G561=T$13,LEN(G561)&gt;1),1,0)</f>
        <v>0</v>
      </c>
      <c r="R561" s="97">
        <f>Doubles!G$13</f>
        <v>12</v>
      </c>
      <c r="S561" s="95">
        <f ca="1">IF(AND(H561=H$13,LEN(H561)&gt;1,Q561=1),1,0)</f>
        <v>0</v>
      </c>
      <c r="V561" s="97">
        <f ca="1">VLOOKUP(12,R550:S573,2,0)</f>
        <v>0</v>
      </c>
      <c r="W561" s="95" t="str">
        <f t="shared" ca="1" si="215"/>
        <v/>
      </c>
      <c r="X561" s="95">
        <f ca="1">IF(F$13=0,IF(AND(G561=G613,NOT(G561=G587),NOT(G561=G639),LEN(W561)&gt;0),2,IF(LEN(W561)=0,0,1)),0)</f>
        <v>0</v>
      </c>
      <c r="Y561" s="95" t="str">
        <f t="shared" ca="1" si="216"/>
        <v xml:space="preserve"> 0-0</v>
      </c>
      <c r="Z561" s="95" t="str">
        <f t="shared" ca="1" si="217"/>
        <v xml:space="preserve"> 0-0</v>
      </c>
      <c r="AA561" s="95" t="str">
        <f t="shared" ca="1" si="218"/>
        <v xml:space="preserve"> 0-0</v>
      </c>
      <c r="AB561" s="95" t="str">
        <f t="shared" ca="1" si="219"/>
        <v xml:space="preserve"> 0-0</v>
      </c>
      <c r="AC561" s="95" t="str">
        <f ca="1">IF(AND(LEN(W561)&gt;0,F$13=0),IF(X561=2,W561&amp;" +2, ",W561&amp;", "),"")</f>
        <v/>
      </c>
    </row>
    <row r="562" spans="1:29">
      <c r="A562" s="95">
        <v>13</v>
      </c>
      <c r="B562" s="95">
        <f ca="1">IF(Doubles!F103="",0,Doubles!F103)</f>
        <v>0</v>
      </c>
      <c r="C562" s="99" t="str">
        <f ca="1">IF(OR(LEFT(B562,LEN(B$14))=B$14,LEFT(B562,LEN(C$14))=C$14,LEN(B562)&lt;2),"",IF(B562="no pick","","Wrong pick"))</f>
        <v/>
      </c>
      <c r="D562" s="95">
        <f t="shared" ca="1" si="206"/>
        <v>0</v>
      </c>
      <c r="E562" s="95">
        <f t="shared" ca="1" si="207"/>
        <v>1</v>
      </c>
      <c r="G562" s="95" t="str">
        <f ca="1">IF(B562=0,"",IF(B562="no pick","No Pick",IF(LEFT(B562,LEN(B$14))=B$14,B$14,C$14)))</f>
        <v/>
      </c>
      <c r="H562" s="95" t="str">
        <f t="shared" ca="1" si="208"/>
        <v>0-0</v>
      </c>
      <c r="I562" s="95" t="str">
        <f ca="1">IF(AND(J562=$I$2,F$14=0,NOT(E$14="")),IF(OR(AND(Y562=AA562,Z562=AB562),AND(Y562=AB562,Z562=AA562)),"",IF(AND(Y562=Z562,AA562=AB562),Y562&amp;" +2 v. "&amp;AA562&amp;" +2, ",IF(Y562=AA562,Z562&amp;" v. "&amp;AB562&amp;", ",IF(Z562=AB562,Y562&amp;" v. "&amp;AA562&amp;", ",IF(Y562=AB562,Z562&amp;" v. "&amp;AA562&amp;", ",IF(Z562=AA562,Y562&amp;" v. "&amp;AB562&amp;", ",Y562&amp;" v. "&amp;AA562&amp;", "&amp;Z562&amp;" v. "&amp;AB562&amp;", ")))))),"")</f>
        <v/>
      </c>
      <c r="J562" s="97">
        <f>D$14</f>
        <v>1</v>
      </c>
      <c r="K562" s="95" t="str">
        <f t="shared" ca="1" si="209"/>
        <v>SR</v>
      </c>
      <c r="L562" s="95" t="str">
        <f t="shared" ca="1" si="210"/>
        <v>0</v>
      </c>
      <c r="M562" s="95" t="str">
        <f t="shared" ca="1" si="211"/>
        <v>0</v>
      </c>
      <c r="N562" s="95" t="str">
        <f t="shared" ca="1" si="212"/>
        <v>0</v>
      </c>
      <c r="O562" s="95" t="str">
        <f t="shared" ca="1" si="213"/>
        <v>0</v>
      </c>
      <c r="P562" s="95" t="str">
        <f t="shared" ca="1" si="214"/>
        <v>0</v>
      </c>
      <c r="Q562" s="95">
        <f ca="1">IF(AND(G562=T$14,LEN(G562)&gt;1),1,0)</f>
        <v>0</v>
      </c>
      <c r="R562" s="97">
        <f>Doubles!G$14</f>
        <v>13</v>
      </c>
      <c r="S562" s="95">
        <f ca="1">IF(AND(H562=H$14,LEN(H562)&gt;1,Q562=1),1,0)</f>
        <v>0</v>
      </c>
      <c r="V562" s="97">
        <f ca="1">VLOOKUP(13,R550:S573,2,0)</f>
        <v>0</v>
      </c>
      <c r="W562" s="95" t="str">
        <f t="shared" ca="1" si="215"/>
        <v/>
      </c>
      <c r="X562" s="95">
        <f ca="1">IF(F$14=0,IF(AND(G562=G614,NOT(G562=G588),NOT(G562=G640),LEN(W562)&gt;0),2,IF(LEN(W562)=0,0,1)),0)</f>
        <v>0</v>
      </c>
      <c r="Y562" s="95" t="str">
        <f t="shared" ca="1" si="216"/>
        <v xml:space="preserve"> 0-0</v>
      </c>
      <c r="Z562" s="95" t="str">
        <f t="shared" ca="1" si="217"/>
        <v xml:space="preserve"> 0-0</v>
      </c>
      <c r="AA562" s="95" t="str">
        <f t="shared" ca="1" si="218"/>
        <v xml:space="preserve"> 0-0</v>
      </c>
      <c r="AB562" s="95" t="str">
        <f t="shared" ca="1" si="219"/>
        <v xml:space="preserve"> 0-0</v>
      </c>
      <c r="AC562" s="95" t="str">
        <f ca="1">IF(AND(LEN(W562)&gt;0,F$14=0),IF(X562=2,W562&amp;" +2, ",W562&amp;", "),"")</f>
        <v/>
      </c>
    </row>
    <row r="563" spans="1:29">
      <c r="A563" s="95">
        <v>14</v>
      </c>
      <c r="B563" s="95">
        <f ca="1">IF(Doubles!F104="",0,Doubles!F104)</f>
        <v>0</v>
      </c>
      <c r="C563" s="99" t="str">
        <f ca="1">IF(OR(LEFT(B563,LEN(B$15))=B$15,LEFT(B563,LEN(C$15))=C$15,LEN(B563)&lt;2),"",IF(B563="no pick","","Wrong pick"))</f>
        <v/>
      </c>
      <c r="D563" s="95">
        <f t="shared" ca="1" si="206"/>
        <v>0</v>
      </c>
      <c r="E563" s="95">
        <f t="shared" ca="1" si="207"/>
        <v>1</v>
      </c>
      <c r="G563" s="95" t="str">
        <f ca="1">IF(B563=0,"",IF(B563="no pick","No Pick",IF(LEFT(B563,LEN(B$15))=B$15,B$15,C$15)))</f>
        <v/>
      </c>
      <c r="H563" s="95" t="str">
        <f t="shared" ca="1" si="208"/>
        <v>0-0</v>
      </c>
      <c r="I563" s="95" t="str">
        <f ca="1">IF(AND(J563=$I$2,F$15=0,NOT(E$15="")),IF(OR(AND(Y563=AA563,Z563=AB563),AND(Y563=AB563,Z563=AA563)),"",IF(AND(Y563=Z563,AA563=AB563),Y563&amp;" +2 v. "&amp;AA563&amp;" +2, ",IF(Y563=AA563,Z563&amp;" v. "&amp;AB563&amp;", ",IF(Z563=AB563,Y563&amp;" v. "&amp;AA563&amp;", ",IF(Y563=AB563,Z563&amp;" v. "&amp;AA563&amp;", ",IF(Z563=AA563,Y563&amp;" v. "&amp;AB563&amp;", ",Y563&amp;" v. "&amp;AA563&amp;", "&amp;Z563&amp;" v. "&amp;AB563&amp;", ")))))),"")</f>
        <v/>
      </c>
      <c r="J563" s="97">
        <f>D$15</f>
        <v>1</v>
      </c>
      <c r="K563" s="95" t="str">
        <f t="shared" ca="1" si="209"/>
        <v>SR</v>
      </c>
      <c r="L563" s="95" t="str">
        <f t="shared" ca="1" si="210"/>
        <v>0</v>
      </c>
      <c r="M563" s="95" t="str">
        <f t="shared" ca="1" si="211"/>
        <v>0</v>
      </c>
      <c r="N563" s="95" t="str">
        <f t="shared" ca="1" si="212"/>
        <v>0</v>
      </c>
      <c r="O563" s="95" t="str">
        <f t="shared" ca="1" si="213"/>
        <v>0</v>
      </c>
      <c r="P563" s="95" t="str">
        <f t="shared" ca="1" si="214"/>
        <v>0</v>
      </c>
      <c r="Q563" s="95">
        <f ca="1">IF(AND(G563=T$15,LEN(G563)&gt;1),1,0)</f>
        <v>0</v>
      </c>
      <c r="R563" s="97">
        <f>Doubles!G$15</f>
        <v>14</v>
      </c>
      <c r="S563" s="95">
        <f ca="1">IF(AND(H563=H$15,LEN(H563)&gt;1,Q563=1),1,0)</f>
        <v>0</v>
      </c>
      <c r="T563" s="95" t="s">
        <v>127</v>
      </c>
      <c r="U563" s="95" t="str">
        <f>IF(Doubles!$D$22=$F$26,IF(T559&gt;T560,B549&amp;"/"&amp;B601,IF(T559&lt;T560,B575&amp;"/"&amp;B627,IF(U559&gt;U560,B549&amp;"/"&amp;B601,IF(U559&lt;U560,B575&amp;"/"&amp;B627,"Tied, see shootout")))),"No decision yet")</f>
        <v>No decision yet</v>
      </c>
      <c r="V563" s="97">
        <f ca="1">VLOOKUP(14,R550:S573,2,0)</f>
        <v>0</v>
      </c>
      <c r="W563" s="95" t="str">
        <f t="shared" ca="1" si="215"/>
        <v/>
      </c>
      <c r="X563" s="95">
        <f ca="1">IF(F$15=0,IF(AND(G563=G615,NOT(G563=G589),NOT(G563=G641),LEN(W563)&gt;0),2,IF(LEN(W563)=0,0,1)),0)</f>
        <v>0</v>
      </c>
      <c r="Y563" s="95" t="str">
        <f t="shared" ca="1" si="216"/>
        <v xml:space="preserve"> 0-0</v>
      </c>
      <c r="Z563" s="95" t="str">
        <f t="shared" ca="1" si="217"/>
        <v xml:space="preserve"> 0-0</v>
      </c>
      <c r="AA563" s="95" t="str">
        <f t="shared" ca="1" si="218"/>
        <v xml:space="preserve"> 0-0</v>
      </c>
      <c r="AB563" s="95" t="str">
        <f t="shared" ca="1" si="219"/>
        <v xml:space="preserve"> 0-0</v>
      </c>
      <c r="AC563" s="95" t="str">
        <f ca="1">IF(AND(LEN(W563)&gt;0,F$15=0),IF(X563=2,W563&amp;" +2, ",W563&amp;", "),"")</f>
        <v/>
      </c>
    </row>
    <row r="564" spans="1:29">
      <c r="A564" s="95">
        <v>15</v>
      </c>
      <c r="B564" s="95">
        <f ca="1">IF(Doubles!F105="",0,Doubles!F105)</f>
        <v>0</v>
      </c>
      <c r="C564" s="99" t="str">
        <f ca="1">IF(OR(LEFT(B564,LEN(B$16))=B$16,LEFT(B564,LEN(C$16))=C$16,LEN(B564)&lt;2),"",IF(B564="no pick","","Wrong pick"))</f>
        <v/>
      </c>
      <c r="D564" s="95">
        <f t="shared" ca="1" si="206"/>
        <v>0</v>
      </c>
      <c r="E564" s="95">
        <f t="shared" ca="1" si="207"/>
        <v>1</v>
      </c>
      <c r="G564" s="95" t="str">
        <f ca="1">IF(B564=0,"",IF(B564="no pick","No Pick",IF(LEFT(B564,LEN(B$16))=B$16,B$16,C$16)))</f>
        <v/>
      </c>
      <c r="H564" s="95" t="str">
        <f t="shared" ca="1" si="208"/>
        <v>0-0</v>
      </c>
      <c r="I564" s="95" t="str">
        <f ca="1">IF(AND(J564=$I$2,F$16=0,NOT(E$16="")),IF(OR(AND(Y564=AA564,Z564=AB564),AND(Y564=AB564,Z564=AA564)),"",IF(AND(Y564=Z564,AA564=AB564),Y564&amp;" +2 v. "&amp;AA564&amp;" +2, ",IF(Y564=AA564,Z564&amp;" v. "&amp;AB564&amp;", ",IF(Z564=AB564,Y564&amp;" v. "&amp;AA564&amp;", ",IF(Y564=AB564,Z564&amp;" v. "&amp;AA564&amp;", ",IF(Z564=AA564,Y564&amp;" v. "&amp;AB564&amp;", ",Y564&amp;" v. "&amp;AA564&amp;", "&amp;Z564&amp;" v. "&amp;AB564&amp;", ")))))),"")</f>
        <v/>
      </c>
      <c r="J564" s="97">
        <f>D$16</f>
        <v>1</v>
      </c>
      <c r="K564" s="95" t="str">
        <f t="shared" ca="1" si="209"/>
        <v>SR</v>
      </c>
      <c r="L564" s="95" t="str">
        <f t="shared" ca="1" si="210"/>
        <v>0</v>
      </c>
      <c r="M564" s="95" t="str">
        <f t="shared" ca="1" si="211"/>
        <v>0</v>
      </c>
      <c r="N564" s="95" t="str">
        <f t="shared" ca="1" si="212"/>
        <v>0</v>
      </c>
      <c r="O564" s="95" t="str">
        <f t="shared" ca="1" si="213"/>
        <v>0</v>
      </c>
      <c r="P564" s="95" t="str">
        <f t="shared" ca="1" si="214"/>
        <v>0</v>
      </c>
      <c r="Q564" s="95">
        <f ca="1">IF(AND(G564=T$16,LEN(G564)&gt;1),1,0)</f>
        <v>0</v>
      </c>
      <c r="R564" s="97">
        <f>Doubles!G$16</f>
        <v>15</v>
      </c>
      <c r="S564" s="95">
        <f ca="1">IF(AND(H564=H$16,LEN(H564)&gt;1,Q564=1),1,0)</f>
        <v>0</v>
      </c>
      <c r="T564" s="95" t="s">
        <v>128</v>
      </c>
      <c r="U564" s="95" t="e">
        <f ca="1">IF(T559&lt;10,"0","")&amp;T559&amp;":"&amp;IF(T560&lt;10,"0","")&amp;T560&amp;" | "&amp;IF(AND(A549&gt;0,A549&lt;33,B549&amp;"/"&amp;B601=U563),"[b][color=Blue]"&amp;T549&amp;"/"&amp;T601&amp;" ("&amp;D549&amp;"/"&amp;D601&amp;")[/color][/b]",IF(B549&amp;"/"&amp;B601=U563,"[color=Blue]"&amp;T549&amp;"/"&amp;T601&amp;" ("&amp;D549&amp;"/"&amp;D601&amp;")[/color]",IF(AND(A549&gt;0,A549&lt;33),"[b]"&amp;T549&amp;"/"&amp;T601&amp;" ("&amp;D549&amp;"/"&amp;D601&amp;")[/b]",T549&amp;"/"&amp;T601&amp;IF(LEN(D549)&gt;1," ("&amp;D549&amp;"/"&amp;D601&amp;")",""))))&amp;" vs. "&amp;IF(AND(A575&gt;0,A575&lt;33,B575&amp;"/"&amp;B627=U563),"[b][color=Blue]"&amp;T575&amp;"/"&amp;T627&amp;" ("&amp;D575&amp;"/"&amp;D627&amp;")[/color][/b]",IF(B575&amp;"/"&amp;B627=U563,"[color=Blue]"&amp;T575&amp;"/"&amp;T627&amp;" ("&amp;D575&amp;"/"&amp;D627&amp;")[/color]",IF(AND(A575&gt;0,A575&lt;33),"[b]"&amp;T575&amp;"/"&amp;T627&amp;" ("&amp;D575&amp;"/"&amp;D627&amp;")[/b]",T575&amp;"/"&amp;T627&amp;IF(LEN(D575)&gt;1," ("&amp;D575&amp;"/"&amp;D627&amp;")",""))))&amp;IF(OR(Doubles!$D$25="yes",T559=T560)," #SRs: "&amp;U559&amp;"-"&amp;U560,"")</f>
        <v>#N/A</v>
      </c>
      <c r="V564" s="97">
        <f ca="1">VLOOKUP(15,R550:S573,2,0)</f>
        <v>0</v>
      </c>
      <c r="W564" s="95" t="str">
        <f t="shared" ca="1" si="215"/>
        <v/>
      </c>
      <c r="X564" s="95">
        <f ca="1">IF(F$16=0,IF(AND(G564=G616,NOT(G564=G590),NOT(G564=G642),LEN(W564)&gt;0),2,IF(LEN(W564)=0,0,1)),0)</f>
        <v>0</v>
      </c>
      <c r="Y564" s="95" t="str">
        <f t="shared" ca="1" si="216"/>
        <v xml:space="preserve"> 0-0</v>
      </c>
      <c r="Z564" s="95" t="str">
        <f t="shared" ca="1" si="217"/>
        <v xml:space="preserve"> 0-0</v>
      </c>
      <c r="AA564" s="95" t="str">
        <f t="shared" ca="1" si="218"/>
        <v xml:space="preserve"> 0-0</v>
      </c>
      <c r="AB564" s="95" t="str">
        <f t="shared" ca="1" si="219"/>
        <v xml:space="preserve"> 0-0</v>
      </c>
      <c r="AC564" s="95" t="str">
        <f ca="1">IF(AND(LEN(W564)&gt;0,F$16=0),IF(X564=2,W564&amp;" +2, ",W564&amp;", "),"")</f>
        <v/>
      </c>
    </row>
    <row r="565" spans="1:29">
      <c r="A565" s="95">
        <v>16</v>
      </c>
      <c r="B565" s="95">
        <f ca="1">IF(Doubles!F106="",0,Doubles!F106)</f>
        <v>0</v>
      </c>
      <c r="C565" s="99" t="str">
        <f ca="1">IF(OR(LEFT(B565,LEN(B$17))=B$17,LEFT(B565,LEN(C$17))=C$17,LEN(B565)&lt;2),"",IF(B565="no pick","","Wrong pick"))</f>
        <v/>
      </c>
      <c r="D565" s="95">
        <f t="shared" ca="1" si="206"/>
        <v>0</v>
      </c>
      <c r="E565" s="95">
        <f t="shared" ca="1" si="207"/>
        <v>1</v>
      </c>
      <c r="G565" s="95" t="str">
        <f ca="1">IF(B565=0,"",IF(B565="no pick","No Pick",IF(LEFT(B565,LEN(B$17))=B$17,B$17,C$17)))</f>
        <v/>
      </c>
      <c r="H565" s="95" t="str">
        <f t="shared" ca="1" si="208"/>
        <v>0-0</v>
      </c>
      <c r="I565" s="95" t="str">
        <f ca="1">IF(AND(J565=$I$2,F$17=0,NOT(E$17="")),IF(OR(AND(Y565=AA565,Z565=AB565),AND(Y565=AB565,Z565=AA565)),"",IF(AND(Y565=Z565,AA565=AB565),Y565&amp;" +2 v. "&amp;AA565&amp;" +2, ",IF(Y565=AA565,Z565&amp;" v. "&amp;AB565&amp;", ",IF(Z565=AB565,Y565&amp;" v. "&amp;AA565&amp;", ",IF(Y565=AB565,Z565&amp;" v. "&amp;AA565&amp;", ",IF(Z565=AA565,Y565&amp;" v. "&amp;AB565&amp;", ",Y565&amp;" v. "&amp;AA565&amp;", "&amp;Z565&amp;" v. "&amp;AB565&amp;", ")))))),"")</f>
        <v/>
      </c>
      <c r="J565" s="97">
        <f>D$17</f>
        <v>1</v>
      </c>
      <c r="K565" s="95" t="str">
        <f t="shared" ca="1" si="209"/>
        <v>SR</v>
      </c>
      <c r="L565" s="95" t="str">
        <f t="shared" ca="1" si="210"/>
        <v>0</v>
      </c>
      <c r="M565" s="95" t="str">
        <f t="shared" ca="1" si="211"/>
        <v>0</v>
      </c>
      <c r="N565" s="95" t="str">
        <f t="shared" ca="1" si="212"/>
        <v>0</v>
      </c>
      <c r="O565" s="95" t="str">
        <f t="shared" ca="1" si="213"/>
        <v>0</v>
      </c>
      <c r="P565" s="95" t="str">
        <f t="shared" ca="1" si="214"/>
        <v>0</v>
      </c>
      <c r="Q565" s="95">
        <f ca="1">IF(AND(G565=T$17,LEN(G565)&gt;1),1,0)</f>
        <v>0</v>
      </c>
      <c r="R565" s="97">
        <f>Doubles!G$17</f>
        <v>16</v>
      </c>
      <c r="S565" s="95">
        <f ca="1">IF(AND(H565=H$17,LEN(H565)&gt;1,Q565=1),1,0)</f>
        <v>0</v>
      </c>
      <c r="V565" s="97">
        <f ca="1">VLOOKUP(16,R550:S573,2,0)</f>
        <v>0</v>
      </c>
      <c r="W565" s="95" t="str">
        <f t="shared" ca="1" si="215"/>
        <v/>
      </c>
      <c r="X565" s="95">
        <f ca="1">IF(F$17=0,IF(AND(G565=G617,NOT(G565=G591),NOT(G565=G643),LEN(W565)&gt;0),2,IF(LEN(W565)=0,0,1)),0)</f>
        <v>0</v>
      </c>
      <c r="Y565" s="95" t="str">
        <f t="shared" ca="1" si="216"/>
        <v xml:space="preserve"> 0-0</v>
      </c>
      <c r="Z565" s="95" t="str">
        <f t="shared" ca="1" si="217"/>
        <v xml:space="preserve"> 0-0</v>
      </c>
      <c r="AA565" s="95" t="str">
        <f t="shared" ca="1" si="218"/>
        <v xml:space="preserve"> 0-0</v>
      </c>
      <c r="AB565" s="95" t="str">
        <f t="shared" ca="1" si="219"/>
        <v xml:space="preserve"> 0-0</v>
      </c>
      <c r="AC565" s="95" t="str">
        <f ca="1">IF(AND(LEN(W565)&gt;0,F$17=0),IF(X565=2,W565&amp;" +2, ",W565&amp;", "),"")</f>
        <v/>
      </c>
    </row>
    <row r="566" spans="1:29">
      <c r="A566" s="95">
        <v>17</v>
      </c>
      <c r="B566" s="95">
        <f>IF(Doubles!F107="",0,Doubles!F107)</f>
        <v>0</v>
      </c>
      <c r="C566" s="99" t="str">
        <f>IF(OR(LEFT(B566,LEN(B$18))=B$18,LEFT(B566,LEN(C$18))=C$18,LEN(B566)&lt;2),"",IF(B566="no pick","","Wrong pick"))</f>
        <v/>
      </c>
      <c r="D566" s="95">
        <f t="shared" si="206"/>
        <v>0</v>
      </c>
      <c r="E566" s="95">
        <f t="shared" si="207"/>
        <v>0</v>
      </c>
      <c r="G566" s="95" t="str">
        <f>IF(B566=0,"",IF(B566="no pick","No Pick",IF(LEFT(B566,LEN(B$18))=B$18,B$18,C$18)))</f>
        <v/>
      </c>
      <c r="H566" s="95" t="str">
        <f t="shared" si="208"/>
        <v>0-0</v>
      </c>
      <c r="I566" s="95" t="str">
        <f>IF(AND(J566=$I$2,F$18=0,NOT(E$18="")),IF(OR(AND(Y566=AA566,Z566=AB566),AND(Y566=AB566,Z566=AA566)),"",IF(AND(Y566=Z566,AA566=AB566),Y566&amp;" +2 v. "&amp;AA566&amp;" +2, ",IF(Y566=AA566,Z566&amp;" v. "&amp;AB566&amp;", ",IF(Z566=AB566,Y566&amp;" v. "&amp;AA566&amp;", ",IF(Y566=AB566,Z566&amp;" v. "&amp;AA566&amp;", ",IF(Z566=AA566,Y566&amp;" v. "&amp;AB566&amp;", ",Y566&amp;" v. "&amp;AA566&amp;", "&amp;Z566&amp;" v. "&amp;AB566&amp;", ")))))),"")</f>
        <v/>
      </c>
      <c r="J566" s="95">
        <f>D$18</f>
        <v>0</v>
      </c>
      <c r="K566" s="95" t="str">
        <f t="shared" si="209"/>
        <v>SR</v>
      </c>
      <c r="L566" s="95" t="str">
        <f t="shared" si="210"/>
        <v>0</v>
      </c>
      <c r="M566" s="95" t="str">
        <f t="shared" si="211"/>
        <v>0</v>
      </c>
      <c r="N566" s="95" t="str">
        <f t="shared" si="212"/>
        <v>0</v>
      </c>
      <c r="O566" s="95" t="str">
        <f t="shared" si="213"/>
        <v>0</v>
      </c>
      <c r="P566" s="95" t="str">
        <f t="shared" si="214"/>
        <v>0</v>
      </c>
      <c r="Q566" s="95">
        <f>IF(AND(G566=T$18,LEN(G566)&gt;1),1,0)</f>
        <v>0</v>
      </c>
      <c r="R566" s="97">
        <f>Doubles!G$18</f>
        <v>17</v>
      </c>
      <c r="S566" s="95">
        <f>IF(AND(H566=H$18,LEN(H566)&gt;1,Q566=1),1,0)</f>
        <v>0</v>
      </c>
      <c r="T566" s="95" t="str">
        <f>IF(Doubles!$D$22=$F$26,IF(T559&gt;T560,B549,IF(T559&lt;T560,B575,IF(U559&gt;U560,B549,IF(U559&lt;U560,B575,"")))),"")</f>
        <v/>
      </c>
      <c r="U566" s="95" t="str">
        <f>IF(Doubles!$D$22=$F$26,IF(T559&gt;T560,B601,IF(T559&lt;T560,B627,IF(U559&gt;U560,B601,IF(U559&lt;U560,B627,"")))),"")</f>
        <v/>
      </c>
      <c r="V566" s="95">
        <f>VLOOKUP(17,R550:S573,2,0)</f>
        <v>0</v>
      </c>
      <c r="W566" s="95" t="str">
        <f t="shared" si="215"/>
        <v/>
      </c>
      <c r="X566" s="95">
        <f>IF(F$18=0,IF(AND(G566=G618,NOT(G566=G592),NOT(G566=G644),LEN(W566)&gt;0),2,IF(LEN(W566)=0,0,1)),0)</f>
        <v>0</v>
      </c>
      <c r="Y566" s="95" t="str">
        <f t="shared" si="216"/>
        <v xml:space="preserve"> 0-0</v>
      </c>
      <c r="Z566" s="95" t="str">
        <f t="shared" si="217"/>
        <v xml:space="preserve"> 0-0</v>
      </c>
      <c r="AA566" s="95" t="str">
        <f t="shared" si="218"/>
        <v xml:space="preserve"> 0-0</v>
      </c>
      <c r="AB566" s="95" t="str">
        <f t="shared" si="219"/>
        <v xml:space="preserve"> 0-0</v>
      </c>
      <c r="AC566" s="95" t="str">
        <f>IF(AND(LEN(W566)&gt;0,F$18=0),IF(X566=2,W566&amp;" +2, ",W566&amp;", "),"")</f>
        <v/>
      </c>
    </row>
    <row r="567" spans="1:29">
      <c r="A567" s="95">
        <v>18</v>
      </c>
      <c r="B567" s="95">
        <f>IF(Doubles!F108="",0,Doubles!F108)</f>
        <v>0</v>
      </c>
      <c r="C567" s="99" t="str">
        <f>IF(OR(LEFT(B567,LEN(B$19))=B$19,LEFT(B567,LEN(C$19))=C$19,LEN(B567)&lt;2),"",IF(B567="no pick","","Wrong pick"))</f>
        <v/>
      </c>
      <c r="D567" s="95">
        <f t="shared" si="206"/>
        <v>0</v>
      </c>
      <c r="E567" s="95">
        <f t="shared" si="207"/>
        <v>0</v>
      </c>
      <c r="G567" s="95" t="str">
        <f>IF(B567=0,"",IF(B567="no pick","No Pick",IF(LEFT(B567,LEN(B$19))=B$19,B$19,C$19)))</f>
        <v/>
      </c>
      <c r="H567" s="95" t="str">
        <f t="shared" si="208"/>
        <v>0-0</v>
      </c>
      <c r="I567" s="95" t="str">
        <f>IF(AND(J567=$I$2,F$19=0,NOT(E$19="")),IF(OR(AND(Y567=AA567,Z567=AB567),AND(Y567=AB567,Z567=AA567)),"",IF(AND(Y567=Z567,AA567=AB567),Y567&amp;" +2 v. "&amp;AA567&amp;" +2, ",IF(Y567=AA567,Z567&amp;" v. "&amp;AB567&amp;", ",IF(Z567=AB567,Y567&amp;" v. "&amp;AA567&amp;", ",IF(Y567=AB567,Z567&amp;" v. "&amp;AA567&amp;", ",IF(Z567=AA567,Y567&amp;" v. "&amp;AB567&amp;", ",Y567&amp;" v. "&amp;AA567&amp;", "&amp;Z567&amp;" v. "&amp;AB567&amp;", ")))))),"")</f>
        <v/>
      </c>
      <c r="J567" s="95">
        <f>D$19</f>
        <v>0</v>
      </c>
      <c r="K567" s="95" t="str">
        <f t="shared" si="209"/>
        <v>SR</v>
      </c>
      <c r="L567" s="95" t="str">
        <f t="shared" si="210"/>
        <v>0</v>
      </c>
      <c r="M567" s="95" t="str">
        <f t="shared" si="211"/>
        <v>0</v>
      </c>
      <c r="N567" s="95" t="str">
        <f t="shared" si="212"/>
        <v>0</v>
      </c>
      <c r="O567" s="95" t="str">
        <f t="shared" si="213"/>
        <v>0</v>
      </c>
      <c r="P567" s="95" t="str">
        <f t="shared" si="214"/>
        <v>0</v>
      </c>
      <c r="Q567" s="95">
        <f>IF(AND(G567=T$19,LEN(G567)&gt;1),1,0)</f>
        <v>0</v>
      </c>
      <c r="R567" s="97">
        <f>Doubles!G$19</f>
        <v>18</v>
      </c>
      <c r="S567" s="95">
        <f>IF(AND(H567=H$19,LEN(H567)&gt;1,Q567=1),1,0)</f>
        <v>0</v>
      </c>
      <c r="V567" s="97">
        <f>VLOOKUP(18,R550:S573,2,0)</f>
        <v>0</v>
      </c>
      <c r="W567" s="95" t="str">
        <f t="shared" si="215"/>
        <v/>
      </c>
      <c r="X567" s="95">
        <f>IF(F$19=0,IF(AND(G567=G619,NOT(G567=G593),NOT(G567=G645),LEN(W567)&gt;0),2,IF(LEN(W567)=0,0,1)),0)</f>
        <v>0</v>
      </c>
      <c r="Y567" s="95" t="str">
        <f t="shared" si="216"/>
        <v xml:space="preserve"> 0-0</v>
      </c>
      <c r="Z567" s="95" t="str">
        <f t="shared" si="217"/>
        <v xml:space="preserve"> 0-0</v>
      </c>
      <c r="AA567" s="95" t="str">
        <f t="shared" si="218"/>
        <v xml:space="preserve"> 0-0</v>
      </c>
      <c r="AB567" s="95" t="str">
        <f t="shared" si="219"/>
        <v xml:space="preserve"> 0-0</v>
      </c>
      <c r="AC567" s="95" t="str">
        <f>IF(AND(LEN(W567)&gt;0,F$19=0),IF(X567=2,W567&amp;" +2, ",W567&amp;", "),"")</f>
        <v/>
      </c>
    </row>
    <row r="568" spans="1:29">
      <c r="A568" s="95">
        <v>19</v>
      </c>
      <c r="B568" s="95">
        <f>IF(Doubles!F109="",0,Doubles!F109)</f>
        <v>0</v>
      </c>
      <c r="C568" s="99" t="str">
        <f>IF(OR(LEFT(B568,LEN(B$20))=B$20,LEFT(B568,LEN(C$20))=C$20,LEN(B568)&lt;2),"",IF(B568="no pick","","Wrong pick"))</f>
        <v/>
      </c>
      <c r="D568" s="95">
        <f t="shared" si="206"/>
        <v>0</v>
      </c>
      <c r="E568" s="95">
        <f t="shared" si="207"/>
        <v>0</v>
      </c>
      <c r="G568" s="95" t="str">
        <f>IF(B568=0,"",IF(B568="no pick","No Pick",IF(LEFT(B568,LEN(B$20))=B$20,B$20,C$20)))</f>
        <v/>
      </c>
      <c r="H568" s="95" t="str">
        <f t="shared" si="208"/>
        <v>0-0</v>
      </c>
      <c r="I568" s="95" t="str">
        <f>IF(AND(J568=$I$2,F$20=0,NOT(E$20="")),IF(OR(AND(Y568=AA568,Z568=AB568),AND(Y568=AB568,Z568=AA568)),"",IF(AND(Y568=Z568,AA568=AB568),Y568&amp;" +2 v. "&amp;AA568&amp;" +2, ",IF(Y568=AA568,Z568&amp;" v. "&amp;AB568&amp;", ",IF(Z568=AB568,Y568&amp;" v. "&amp;AA568&amp;", ",IF(Y568=AB568,Z568&amp;" v. "&amp;AA568&amp;", ",IF(Z568=AA568,Y568&amp;" v. "&amp;AB568&amp;", ",Y568&amp;" v. "&amp;AA568&amp;", "&amp;Z568&amp;" v. "&amp;AB568&amp;", ")))))),"")</f>
        <v/>
      </c>
      <c r="J568" s="95">
        <f>D$20</f>
        <v>0</v>
      </c>
      <c r="K568" s="95" t="str">
        <f t="shared" si="209"/>
        <v>SR</v>
      </c>
      <c r="L568" s="95" t="str">
        <f t="shared" si="210"/>
        <v>0</v>
      </c>
      <c r="M568" s="95" t="str">
        <f t="shared" si="211"/>
        <v>0</v>
      </c>
      <c r="N568" s="95" t="str">
        <f t="shared" si="212"/>
        <v>0</v>
      </c>
      <c r="O568" s="95" t="str">
        <f t="shared" si="213"/>
        <v>0</v>
      </c>
      <c r="P568" s="95" t="str">
        <f t="shared" si="214"/>
        <v>0</v>
      </c>
      <c r="Q568" s="95">
        <f>IF(AND(G568=T$20,LEN(G568)&gt;1),1,0)</f>
        <v>0</v>
      </c>
      <c r="R568" s="97">
        <f>Doubles!G$20</f>
        <v>19</v>
      </c>
      <c r="S568" s="95">
        <f>IF(AND(H568=H$20,LEN(H568)&gt;1,Q568=1),1,0)</f>
        <v>0</v>
      </c>
      <c r="V568" s="97">
        <f>VLOOKUP(19,R550:S573,2,0)</f>
        <v>0</v>
      </c>
      <c r="W568" s="95" t="str">
        <f t="shared" si="215"/>
        <v/>
      </c>
      <c r="X568" s="95">
        <f>IF(F$20=0,IF(AND(G568=G620,NOT(G568=G594),NOT(G568=G646),LEN(W568)&gt;0),2,IF(LEN(W568)=0,0,1)),0)</f>
        <v>0</v>
      </c>
      <c r="Y568" s="95" t="str">
        <f t="shared" si="216"/>
        <v xml:space="preserve"> 0-0</v>
      </c>
      <c r="Z568" s="95" t="str">
        <f t="shared" si="217"/>
        <v xml:space="preserve"> 0-0</v>
      </c>
      <c r="AA568" s="95" t="str">
        <f t="shared" si="218"/>
        <v xml:space="preserve"> 0-0</v>
      </c>
      <c r="AB568" s="95" t="str">
        <f t="shared" si="219"/>
        <v xml:space="preserve"> 0-0</v>
      </c>
      <c r="AC568" s="95" t="str">
        <f>IF(AND(LEN(W568)&gt;0,F$20=0),IF(X568=2,W568&amp;" +2, ",W568&amp;", "),"")</f>
        <v/>
      </c>
    </row>
    <row r="569" spans="1:29">
      <c r="A569" s="95">
        <v>20</v>
      </c>
      <c r="B569" s="95">
        <f>IF(Doubles!F110="",0,Doubles!F110)</f>
        <v>0</v>
      </c>
      <c r="C569" s="99" t="str">
        <f>IF(OR(LEFT(B569,LEN(B$21))=B$21,LEFT(B569,LEN(C$21))=C$21,LEN(B569)&lt;2),"",IF(B569="no pick","","Wrong pick"))</f>
        <v/>
      </c>
      <c r="D569" s="95">
        <f t="shared" si="206"/>
        <v>0</v>
      </c>
      <c r="E569" s="95">
        <f t="shared" si="207"/>
        <v>0</v>
      </c>
      <c r="G569" s="95" t="str">
        <f>IF(B569=0,"",IF(B569="no pick","No Pick",IF(LEFT(B569,LEN(B$21))=B$21,B$21,C$21)))</f>
        <v/>
      </c>
      <c r="H569" s="95" t="str">
        <f t="shared" si="208"/>
        <v>0-0</v>
      </c>
      <c r="I569" s="95" t="str">
        <f>IF(AND(J569=$I$2,F$21=0,NOT(E$21="")),IF(OR(AND(Y569=AA569,Z569=AB569),AND(Y569=AB569,Z569=AA569)),"",IF(AND(Y569=Z569,AA569=AB569),Y569&amp;" +2 v. "&amp;AA569&amp;" +2, ",IF(Y569=AA569,Z569&amp;" v. "&amp;AB569&amp;", ",IF(Z569=AB569,Y569&amp;" v. "&amp;AA569&amp;", ",IF(Y569=AB569,Z569&amp;" v. "&amp;AA569&amp;", ",IF(Z569=AA569,Y569&amp;" v. "&amp;AB569&amp;", ",Y569&amp;" v. "&amp;AA569&amp;", "&amp;Z569&amp;" v. "&amp;AB569&amp;", ")))))),"")</f>
        <v/>
      </c>
      <c r="J569" s="95">
        <f>D$21</f>
        <v>0</v>
      </c>
      <c r="K569" s="95" t="str">
        <f t="shared" si="209"/>
        <v>SR</v>
      </c>
      <c r="L569" s="95" t="str">
        <f t="shared" si="210"/>
        <v>0</v>
      </c>
      <c r="M569" s="95" t="str">
        <f t="shared" si="211"/>
        <v>0</v>
      </c>
      <c r="N569" s="95" t="str">
        <f t="shared" si="212"/>
        <v>0</v>
      </c>
      <c r="O569" s="95" t="str">
        <f t="shared" si="213"/>
        <v>0</v>
      </c>
      <c r="P569" s="95" t="str">
        <f t="shared" si="214"/>
        <v>0</v>
      </c>
      <c r="Q569" s="95">
        <f>IF(AND(G569=T$21,LEN(G569)&gt;1),1,0)</f>
        <v>0</v>
      </c>
      <c r="R569" s="97">
        <f>Doubles!G$21</f>
        <v>20</v>
      </c>
      <c r="S569" s="95">
        <f>IF(AND(H569=H$21,LEN(H569)&gt;1,Q569=1),1,0)</f>
        <v>0</v>
      </c>
      <c r="V569" s="97">
        <f>VLOOKUP(20,R550:S573,2,0)</f>
        <v>0</v>
      </c>
      <c r="W569" s="95" t="str">
        <f t="shared" si="215"/>
        <v/>
      </c>
      <c r="X569" s="95">
        <f>IF(F$21=0,IF(AND(G569=G621,NOT(G569=G595),NOT(G569=G647),LEN(W569)&gt;0),2,IF(LEN(W569)=0,0,1)),0)</f>
        <v>0</v>
      </c>
      <c r="Y569" s="95" t="str">
        <f t="shared" si="216"/>
        <v xml:space="preserve"> 0-0</v>
      </c>
      <c r="Z569" s="95" t="str">
        <f t="shared" si="217"/>
        <v xml:space="preserve"> 0-0</v>
      </c>
      <c r="AA569" s="95" t="str">
        <f t="shared" si="218"/>
        <v xml:space="preserve"> 0-0</v>
      </c>
      <c r="AB569" s="95" t="str">
        <f t="shared" si="219"/>
        <v xml:space="preserve"> 0-0</v>
      </c>
      <c r="AC569" s="95" t="str">
        <f>IF(AND(LEN(W569)&gt;0,F$21=0),IF(X569=2,W569&amp;" +2, ",W569&amp;", "),"")</f>
        <v/>
      </c>
    </row>
    <row r="570" spans="1:29">
      <c r="A570" s="95">
        <v>21</v>
      </c>
      <c r="B570" s="95">
        <f>IF(Doubles!F111="",0,Doubles!F111)</f>
        <v>0</v>
      </c>
      <c r="C570" s="99" t="str">
        <f>IF(OR(LEFT(B570,LEN(B$22))=B$22,LEFT(B570,LEN(C$22))=C$22,LEN(B570)&lt;2),"",IF(B570="no pick","","Wrong pick"))</f>
        <v/>
      </c>
      <c r="D570" s="95">
        <f t="shared" si="206"/>
        <v>0</v>
      </c>
      <c r="E570" s="95">
        <f t="shared" si="207"/>
        <v>0</v>
      </c>
      <c r="G570" s="95" t="str">
        <f>IF(B570=0,"",IF(B570="no pick","No Pick",IF(LEFT(B570,LEN(B$22))=B$22,B$22,C$22)))</f>
        <v/>
      </c>
      <c r="H570" s="95" t="str">
        <f t="shared" si="208"/>
        <v>0-0</v>
      </c>
      <c r="I570" s="95" t="str">
        <f>IF(AND(J570=$I$2,F$22=0,NOT(E$22="")),IF(OR(AND(Y570=AA570,Z570=AB570),AND(Y570=AB570,Z570=AA570)),"",IF(AND(Y570=Z570,AA570=AB570),Y570&amp;" +2 v. "&amp;AA570&amp;" +2, ",IF(Y570=AA570,Z570&amp;" v. "&amp;AB570&amp;", ",IF(Z570=AB570,Y570&amp;" v. "&amp;AA570&amp;", ",IF(Y570=AB570,Z570&amp;" v. "&amp;AA570&amp;", ",IF(Z570=AA570,Y570&amp;" v. "&amp;AB570&amp;", ",Y570&amp;" v. "&amp;AA570&amp;", "&amp;Z570&amp;" v. "&amp;AB570&amp;", ")))))),"")</f>
        <v/>
      </c>
      <c r="J570" s="95">
        <f>D$22</f>
        <v>0</v>
      </c>
      <c r="K570" s="95" t="str">
        <f t="shared" si="209"/>
        <v>SR</v>
      </c>
      <c r="L570" s="95" t="str">
        <f t="shared" si="210"/>
        <v>0</v>
      </c>
      <c r="M570" s="95" t="str">
        <f t="shared" si="211"/>
        <v>0</v>
      </c>
      <c r="N570" s="95" t="str">
        <f t="shared" si="212"/>
        <v>0</v>
      </c>
      <c r="O570" s="95" t="str">
        <f t="shared" si="213"/>
        <v>0</v>
      </c>
      <c r="P570" s="95" t="str">
        <f t="shared" si="214"/>
        <v>0</v>
      </c>
      <c r="Q570" s="95">
        <f>IF(AND(G570=T$22,LEN(G570)&gt;1),1,0)</f>
        <v>0</v>
      </c>
      <c r="R570" s="97">
        <f>Doubles!G$22</f>
        <v>21</v>
      </c>
      <c r="S570" s="95">
        <f>IF(AND(H570=H$22,LEN(H570)&gt;1,Q570=1),1,0)</f>
        <v>0</v>
      </c>
      <c r="V570" s="97">
        <f>VLOOKUP(21,R550:S573,2,0)</f>
        <v>0</v>
      </c>
      <c r="W570" s="95" t="str">
        <f t="shared" si="215"/>
        <v/>
      </c>
      <c r="X570" s="95">
        <f>IF(F$22=0,IF(AND(G570=G622,NOT(G570=G596),NOT(G570=G648),LEN(W570)&gt;0),2,IF(LEN(W570)=0,0,1)),0)</f>
        <v>0</v>
      </c>
      <c r="Y570" s="95" t="str">
        <f t="shared" si="216"/>
        <v xml:space="preserve"> 0-0</v>
      </c>
      <c r="Z570" s="95" t="str">
        <f t="shared" si="217"/>
        <v xml:space="preserve"> 0-0</v>
      </c>
      <c r="AA570" s="95" t="str">
        <f t="shared" si="218"/>
        <v xml:space="preserve"> 0-0</v>
      </c>
      <c r="AB570" s="95" t="str">
        <f t="shared" si="219"/>
        <v xml:space="preserve"> 0-0</v>
      </c>
      <c r="AC570" s="95" t="str">
        <f>IF(AND(LEN(W570)&gt;0,F$22=0),IF(X570=2,W570&amp;" +2, ",W570&amp;", "),"")</f>
        <v/>
      </c>
    </row>
    <row r="571" spans="1:29">
      <c r="A571" s="95">
        <v>22</v>
      </c>
      <c r="B571" s="95">
        <f>IF(Doubles!F112="",0,Doubles!F112)</f>
        <v>0</v>
      </c>
      <c r="C571" s="99" t="str">
        <f>IF(OR(LEFT(B571,LEN(B$23))=B$23,LEFT(B571,LEN(C$23))=C$23,LEN(B571)&lt;2),"",IF(B571="no pick","","Wrong pick"))</f>
        <v/>
      </c>
      <c r="D571" s="95">
        <f t="shared" si="206"/>
        <v>0</v>
      </c>
      <c r="E571" s="95">
        <f t="shared" si="207"/>
        <v>0</v>
      </c>
      <c r="G571" s="95" t="str">
        <f>IF(B571=0,"",IF(B571="no pick","No Pick",IF(LEFT(B571,LEN(B$23))=B$23,B$23,C$23)))</f>
        <v/>
      </c>
      <c r="H571" s="95" t="str">
        <f t="shared" si="208"/>
        <v>0-0</v>
      </c>
      <c r="I571" s="95" t="str">
        <f>IF(AND(J571=$I$2,F$23=0,NOT(E$23="")),IF(OR(AND(Y571=AA571,Z571=AB571),AND(Y571=AB571,Z571=AA571)),"",IF(AND(Y571=Z571,AA571=AB571),Y571&amp;" +2 v. "&amp;AA571&amp;" +2, ",IF(Y571=AA571,Z571&amp;" v. "&amp;AB571&amp;", ",IF(Z571=AB571,Y571&amp;" v. "&amp;AA571&amp;", ",IF(Y571=AB571,Z571&amp;" v. "&amp;AA571&amp;", ",IF(Z571=AA571,Y571&amp;" v. "&amp;AB571&amp;", ",Y571&amp;" v. "&amp;AA571&amp;", "&amp;Z571&amp;" v. "&amp;AB571&amp;", ")))))),"")</f>
        <v/>
      </c>
      <c r="J571" s="95">
        <f>D$23</f>
        <v>0</v>
      </c>
      <c r="K571" s="95" t="str">
        <f t="shared" si="209"/>
        <v>SR</v>
      </c>
      <c r="L571" s="95" t="str">
        <f t="shared" si="210"/>
        <v>0</v>
      </c>
      <c r="M571" s="95" t="str">
        <f t="shared" si="211"/>
        <v>0</v>
      </c>
      <c r="N571" s="95" t="str">
        <f t="shared" si="212"/>
        <v>0</v>
      </c>
      <c r="O571" s="95" t="str">
        <f t="shared" si="213"/>
        <v>0</v>
      </c>
      <c r="P571" s="95" t="str">
        <f t="shared" si="214"/>
        <v>0</v>
      </c>
      <c r="Q571" s="95">
        <f>IF(AND(G571=T$23,LEN(G571)&gt;1),1,0)</f>
        <v>0</v>
      </c>
      <c r="R571" s="97">
        <f>Doubles!G$23</f>
        <v>22</v>
      </c>
      <c r="S571" s="95">
        <f>IF(AND(H571=H$23,LEN(H571)&gt;1,Q571=1),1,0)</f>
        <v>0</v>
      </c>
      <c r="V571" s="97">
        <f>VLOOKUP(22,R550:S573,2,0)</f>
        <v>0</v>
      </c>
      <c r="W571" s="95" t="str">
        <f t="shared" si="215"/>
        <v/>
      </c>
      <c r="X571" s="95">
        <f>IF(F$23=0,IF(AND(G571=G623,NOT(G571=G597),NOT(G571=G649),LEN(W571)&gt;0),2,IF(LEN(W571)=0,0,1)),0)</f>
        <v>0</v>
      </c>
      <c r="Y571" s="95" t="str">
        <f t="shared" si="216"/>
        <v xml:space="preserve"> 0-0</v>
      </c>
      <c r="Z571" s="95" t="str">
        <f t="shared" si="217"/>
        <v xml:space="preserve"> 0-0</v>
      </c>
      <c r="AA571" s="95" t="str">
        <f t="shared" si="218"/>
        <v xml:space="preserve"> 0-0</v>
      </c>
      <c r="AB571" s="95" t="str">
        <f t="shared" si="219"/>
        <v xml:space="preserve"> 0-0</v>
      </c>
      <c r="AC571" s="95" t="str">
        <f>IF(AND(LEN(W571)&gt;0,F$23=0),IF(X571=2,W571&amp;" +2, ",W571&amp;", "),"")</f>
        <v/>
      </c>
    </row>
    <row r="572" spans="1:29">
      <c r="A572" s="95">
        <v>23</v>
      </c>
      <c r="B572" s="95">
        <f>IF(Doubles!F113="",0,Doubles!F113)</f>
        <v>0</v>
      </c>
      <c r="C572" s="99" t="str">
        <f>IF(OR(LEFT(B572,LEN(B$24))=B$24,LEFT(B572,LEN(C$24))=C$24,LEN(B572)&lt;2),"",IF(B572="no pick","","Wrong pick"))</f>
        <v/>
      </c>
      <c r="D572" s="95">
        <f t="shared" si="206"/>
        <v>0</v>
      </c>
      <c r="E572" s="95">
        <f t="shared" si="207"/>
        <v>0</v>
      </c>
      <c r="G572" s="95" t="str">
        <f>IF(B572=0,"",IF(B572="no pick","No Pick",IF(LEFT(B572,LEN(B$24))=B$24,B$24,C$24)))</f>
        <v/>
      </c>
      <c r="H572" s="95" t="str">
        <f t="shared" si="208"/>
        <v>0-0</v>
      </c>
      <c r="I572" s="95" t="str">
        <f>IF(AND(J572=$I$2,F$24=0,NOT(E$24="")),IF(OR(AND(Y572=AA572,Z572=AB572),AND(Y572=AB572,Z572=AA572)),"",IF(AND(Y572=Z572,AA572=AB572),Y572&amp;" +2 v. "&amp;AA572&amp;" +2, ",IF(Y572=AA572,Z572&amp;" v. "&amp;AB572&amp;", ",IF(Z572=AB572,Y572&amp;" v. "&amp;AA572&amp;", ",IF(Y572=AB572,Z572&amp;" v. "&amp;AA572&amp;", ",IF(Z572=AA572,Y572&amp;" v. "&amp;AB572&amp;", ",Y572&amp;" v. "&amp;AA572&amp;", "&amp;Z572&amp;" v. "&amp;AB572&amp;", ")))))),"")</f>
        <v/>
      </c>
      <c r="J572" s="95">
        <f>D$24</f>
        <v>0</v>
      </c>
      <c r="K572" s="95" t="str">
        <f t="shared" si="209"/>
        <v>SR</v>
      </c>
      <c r="L572" s="95" t="str">
        <f t="shared" si="210"/>
        <v>0</v>
      </c>
      <c r="M572" s="95" t="str">
        <f t="shared" si="211"/>
        <v>0</v>
      </c>
      <c r="N572" s="95" t="str">
        <f t="shared" si="212"/>
        <v>0</v>
      </c>
      <c r="O572" s="95" t="str">
        <f t="shared" si="213"/>
        <v>0</v>
      </c>
      <c r="P572" s="95" t="str">
        <f t="shared" si="214"/>
        <v>0</v>
      </c>
      <c r="Q572" s="95">
        <f>IF(AND(G572=T$24,LEN(G572)&gt;1),1,0)</f>
        <v>0</v>
      </c>
      <c r="R572" s="97">
        <f>Doubles!G$24</f>
        <v>23</v>
      </c>
      <c r="S572" s="95">
        <f>IF(AND(H572=H$24,LEN(H572)&gt;1,Q572=1),1,0)</f>
        <v>0</v>
      </c>
      <c r="V572" s="97">
        <f>VLOOKUP(23,R550:S573,2,0)</f>
        <v>0</v>
      </c>
      <c r="W572" s="95" t="str">
        <f t="shared" si="215"/>
        <v/>
      </c>
      <c r="X572" s="95">
        <f>IF(F$24=0,IF(AND(G572=G624,NOT(G572=G598),NOT(G572=G650),LEN(W572)&gt;0),2,IF(LEN(W572)=0,0,1)),0)</f>
        <v>0</v>
      </c>
      <c r="Y572" s="95" t="str">
        <f t="shared" si="216"/>
        <v xml:space="preserve"> 0-0</v>
      </c>
      <c r="Z572" s="95" t="str">
        <f t="shared" si="217"/>
        <v xml:space="preserve"> 0-0</v>
      </c>
      <c r="AA572" s="95" t="str">
        <f t="shared" si="218"/>
        <v xml:space="preserve"> 0-0</v>
      </c>
      <c r="AB572" s="95" t="str">
        <f t="shared" si="219"/>
        <v xml:space="preserve"> 0-0</v>
      </c>
      <c r="AC572" s="95" t="str">
        <f>IF(AND(LEN(W572)&gt;0,F$24=0),IF(X572=2,W572&amp;" +2, ",W572&amp;", "),"")</f>
        <v/>
      </c>
    </row>
    <row r="573" spans="1:29">
      <c r="A573" s="95">
        <v>24</v>
      </c>
      <c r="B573" s="95">
        <f>IF(Doubles!F114="",0,Doubles!F114)</f>
        <v>0</v>
      </c>
      <c r="C573" s="99" t="str">
        <f>IF(OR(LEFT(B573,LEN(B$25))=B$25,LEFT(B573,LEN(C$25))=C$25,LEN(B573)&lt;2),"",IF(B573="no pick","","Wrong pick"))</f>
        <v/>
      </c>
      <c r="D573" s="95">
        <f t="shared" si="206"/>
        <v>0</v>
      </c>
      <c r="E573" s="95">
        <f t="shared" si="207"/>
        <v>0</v>
      </c>
      <c r="G573" s="95" t="str">
        <f>IF(B573=0,"",IF(B573="no pick","No Pick",IF(LEFT(B573,LEN(B$25))=B$25,B$25,C$25)))</f>
        <v/>
      </c>
      <c r="H573" s="95" t="str">
        <f t="shared" si="208"/>
        <v>0-0</v>
      </c>
      <c r="I573" s="95" t="str">
        <f>IF(AND(J573=$I$2,F$25=0,NOT(E$25="")),IF(OR(AND(Y573=AA573,Z573=AB573),AND(Y573=AB573,Z573=AA573)),"",IF(AND(Y573=Z573,AA573=AB573),Y573&amp;" +2 v. "&amp;AA573&amp;" +2, ",IF(Y573=AA573,Z573&amp;" v. "&amp;AB573&amp;", ",IF(Z573=AB573,Y573&amp;" v. "&amp;AA573&amp;", ",IF(Y573=AB573,Z573&amp;" v. "&amp;AA573&amp;", ",IF(Z573=AA573,Y573&amp;" v. "&amp;AB573&amp;", ",Y573&amp;" v. "&amp;AA573&amp;", "&amp;Z573&amp;" v. "&amp;AB573&amp;", ")))))),"")</f>
        <v/>
      </c>
      <c r="J573" s="95">
        <f>D$25</f>
        <v>0</v>
      </c>
      <c r="K573" s="95" t="str">
        <f t="shared" si="209"/>
        <v>SR</v>
      </c>
      <c r="L573" s="95" t="str">
        <f t="shared" si="210"/>
        <v>0</v>
      </c>
      <c r="M573" s="95" t="str">
        <f t="shared" si="211"/>
        <v>0</v>
      </c>
      <c r="N573" s="95" t="str">
        <f t="shared" si="212"/>
        <v>0</v>
      </c>
      <c r="O573" s="95" t="str">
        <f t="shared" si="213"/>
        <v>0</v>
      </c>
      <c r="P573" s="95" t="str">
        <f t="shared" si="214"/>
        <v>0</v>
      </c>
      <c r="Q573" s="95">
        <f>IF(AND(G573=T$25,LEN(G573)&gt;1),1,0)</f>
        <v>0</v>
      </c>
      <c r="R573" s="97">
        <f>Doubles!G$25</f>
        <v>24</v>
      </c>
      <c r="S573" s="95">
        <f>IF(AND(H573=H$25,LEN(H573)&gt;1,Q573=1),1,0)</f>
        <v>0</v>
      </c>
      <c r="V573" s="97">
        <f>VLOOKUP(24,R550:S573,2,0)</f>
        <v>0</v>
      </c>
      <c r="W573" s="95" t="str">
        <f t="shared" si="215"/>
        <v/>
      </c>
      <c r="X573" s="95">
        <f>IF(F$25=0,IF(AND(G573=G625,NOT(G573=G599),NOT(G573=G651),LEN(W573)&gt;0),2,IF(LEN(W573)=0,0,1)),0)</f>
        <v>0</v>
      </c>
      <c r="Y573" s="95" t="str">
        <f t="shared" si="216"/>
        <v xml:space="preserve"> 0-0</v>
      </c>
      <c r="Z573" s="95" t="str">
        <f t="shared" si="217"/>
        <v xml:space="preserve"> 0-0</v>
      </c>
      <c r="AA573" s="95" t="str">
        <f t="shared" si="218"/>
        <v xml:space="preserve"> 0-0</v>
      </c>
      <c r="AB573" s="95" t="str">
        <f t="shared" si="219"/>
        <v xml:space="preserve"> 0-0</v>
      </c>
      <c r="AC573" s="95" t="str">
        <f>IF(AND(LEN(W573)&gt;0,F$25=0),IF(X573=2,W573&amp;" +2, ",W573&amp;", "),"")</f>
        <v/>
      </c>
    </row>
    <row r="575" spans="1:29">
      <c r="A575" s="95" t="e">
        <f>IF(LEN(VLOOKUP(B575,Doubles!$A$2:$D$17,4,0))&gt;0,VLOOKUP(B575,Doubles!$A$2:$D$17,4,0),"")</f>
        <v>#N/A</v>
      </c>
      <c r="B575" s="108">
        <f>Doubles!H90</f>
        <v>0</v>
      </c>
      <c r="C575" s="96">
        <v>2</v>
      </c>
      <c r="D575" s="95" t="e">
        <f>VLOOKUP(B575,Doubles!$A$2:$E$17,5,0)</f>
        <v>#N/A</v>
      </c>
      <c r="J575" s="95" t="s">
        <v>88</v>
      </c>
      <c r="Q575" s="95" t="s">
        <v>121</v>
      </c>
      <c r="S575" s="95" t="s">
        <v>122</v>
      </c>
      <c r="T575" s="95" t="e">
        <f>IF(LEN(A575)&gt;0,"("&amp;A575&amp;") "&amp;B575,B575)</f>
        <v>#N/A</v>
      </c>
      <c r="V575" s="95" t="s">
        <v>122</v>
      </c>
      <c r="Z575" s="95" t="s">
        <v>129</v>
      </c>
    </row>
    <row r="576" spans="1:29">
      <c r="A576" s="95">
        <v>1</v>
      </c>
      <c r="B576" s="95">
        <f ca="1">IF(Doubles!H91="",0,Doubles!H91)</f>
        <v>0</v>
      </c>
      <c r="C576" s="99" t="str">
        <f ca="1">IF(OR(LEFT(B576,LEN(B$2))=B$2,LEFT(B576,LEN(C$2))=C$2,LEN(B576)&lt;2),"",IF(B576="no pick","","Wrong pick"))</f>
        <v/>
      </c>
      <c r="E576" s="95">
        <f t="shared" ref="E576:E599" ca="1" si="220">IF(AND($I$2=J576,B576=0),1,0)</f>
        <v>1</v>
      </c>
      <c r="F576" s="95" t="str">
        <f ca="1">IF(AND(SUM(E576:E599)=$I$4,NOT(B575="Bye")),"Missing picks from "&amp;B575&amp;" ","")</f>
        <v xml:space="preserve">Missing picks from 0 </v>
      </c>
      <c r="G576" s="95" t="str">
        <f ca="1">IF(B576=0,"",IF(B576="no pick","No Pick",IF(LEFT(B576,LEN(B$2))=B$2,B$2,C$2)))</f>
        <v/>
      </c>
      <c r="H576" s="95" t="str">
        <f t="shared" ref="H576:H599" ca="1" si="221">IF(L576="","",IF(K576="PTS",IF(LEN(O576)&lt;8,"2-0","2-1"),LEFT(O576,1)&amp;"-"&amp;RIGHT(O576,1)))</f>
        <v>0-0</v>
      </c>
      <c r="J576" s="97">
        <f>D$2</f>
        <v>1</v>
      </c>
      <c r="K576" s="95" t="str">
        <f t="shared" ref="K576:K599" ca="1" si="222">IF(LEN(L576)&gt;0,IF(LEN(O576)&lt;4,"SR","PTS"),"")</f>
        <v>SR</v>
      </c>
      <c r="L576" s="95" t="str">
        <f t="shared" ref="L576:L599" ca="1" si="223">TRIM(RIGHT(B576,LEN(B576)-LEN(G576)))</f>
        <v>0</v>
      </c>
      <c r="M576" s="95" t="str">
        <f t="shared" ref="M576:M599" ca="1" si="224">SUBSTITUTE(L576,"-","")</f>
        <v>0</v>
      </c>
      <c r="N576" s="95" t="str">
        <f t="shared" ref="N576:N599" ca="1" si="225">SUBSTITUTE(M576,","," ")</f>
        <v>0</v>
      </c>
      <c r="O576" s="95" t="str">
        <f t="shared" ref="O576:O599" ca="1" si="226">IF(AND(LEN(TRIM(SUBSTITUTE(P576,"/","")))&gt;6,OR(LEFT(TRIM(SUBSTITUTE(P576,"/","")),2)="20",LEFT(TRIM(SUBSTITUTE(P576,"/","")),2)="21")),RIGHT(TRIM(SUBSTITUTE(P576,"/","")),LEN(TRIM(SUBSTITUTE(P576,"/","")))-3),TRIM(SUBSTITUTE(P576,"/","")))</f>
        <v>0</v>
      </c>
      <c r="P576" s="95" t="str">
        <f t="shared" ref="P576:P599" ca="1" si="227">SUBSTITUTE(N576,":","")</f>
        <v>0</v>
      </c>
      <c r="Q576" s="95">
        <f ca="1">IF(AND(G576=T$2,LEN(G576)&gt;1),1,0)</f>
        <v>0</v>
      </c>
      <c r="R576" s="97">
        <f>Doubles!G$2</f>
        <v>1</v>
      </c>
      <c r="S576" s="95">
        <f ca="1">IF(AND(H576=H$2,LEN(H576)&gt;1,Q576=1),1,0)</f>
        <v>0</v>
      </c>
      <c r="V576" s="97">
        <f ca="1">VLOOKUP(1,R576:S599,2,0)</f>
        <v>0</v>
      </c>
      <c r="W576" s="95">
        <v>1</v>
      </c>
      <c r="Y576" s="95">
        <f ca="1">COUNTIF(X550:X573,"&gt;0")</f>
        <v>0</v>
      </c>
    </row>
    <row r="577" spans="1:23">
      <c r="A577" s="95">
        <v>2</v>
      </c>
      <c r="B577" s="95">
        <f ca="1">IF(Doubles!H92="",0,Doubles!H92)</f>
        <v>0</v>
      </c>
      <c r="C577" s="99" t="str">
        <f ca="1">IF(OR(LEFT(B577,LEN(B$3))=B$3,LEFT(B577,LEN(C$3))=C$3,LEN(B577)&lt;2),"",IF(B577="no pick","","Wrong pick"))</f>
        <v/>
      </c>
      <c r="E577" s="95">
        <f t="shared" ca="1" si="220"/>
        <v>1</v>
      </c>
      <c r="G577" s="95" t="str">
        <f ca="1">IF(B577=0,"",IF(B577="no pick","No Pick",IF(LEFT(B577,LEN(B$3))=B$3,B$3,C$3)))</f>
        <v/>
      </c>
      <c r="H577" s="95" t="str">
        <f t="shared" ca="1" si="221"/>
        <v>0-0</v>
      </c>
      <c r="J577" s="97">
        <f>D$3</f>
        <v>1</v>
      </c>
      <c r="K577" s="95" t="str">
        <f t="shared" ca="1" si="222"/>
        <v>SR</v>
      </c>
      <c r="L577" s="95" t="str">
        <f t="shared" ca="1" si="223"/>
        <v>0</v>
      </c>
      <c r="M577" s="95" t="str">
        <f t="shared" ca="1" si="224"/>
        <v>0</v>
      </c>
      <c r="N577" s="95" t="str">
        <f t="shared" ca="1" si="225"/>
        <v>0</v>
      </c>
      <c r="O577" s="95" t="str">
        <f t="shared" ca="1" si="226"/>
        <v>0</v>
      </c>
      <c r="P577" s="95" t="str">
        <f t="shared" ca="1" si="227"/>
        <v>0</v>
      </c>
      <c r="Q577" s="95">
        <f ca="1">IF(AND(G577=T$3,LEN(G577)&gt;1),1,0)</f>
        <v>0</v>
      </c>
      <c r="R577" s="97">
        <f>Doubles!G$3</f>
        <v>2</v>
      </c>
      <c r="S577" s="95">
        <f ca="1">IF(AND(H577=H$3,LEN(H577)&gt;1,Q577=1),1,0)</f>
        <v>0</v>
      </c>
      <c r="V577" s="97">
        <f ca="1">VLOOKUP(2,R576:S599,2,0)</f>
        <v>0</v>
      </c>
      <c r="W577" s="95">
        <v>2</v>
      </c>
    </row>
    <row r="578" spans="1:23">
      <c r="A578" s="95">
        <v>3</v>
      </c>
      <c r="B578" s="95">
        <f ca="1">IF(Doubles!H93="",0,Doubles!H93)</f>
        <v>0</v>
      </c>
      <c r="C578" s="99" t="str">
        <f ca="1">IF(OR(LEFT(B578,LEN(B$4))=B$4,LEFT(B578,LEN(C$4))=C$4,LEN(B578)&lt;2),"",IF(B578="no pick","","Wrong pick"))</f>
        <v/>
      </c>
      <c r="E578" s="95">
        <f t="shared" ca="1" si="220"/>
        <v>1</v>
      </c>
      <c r="G578" s="95" t="str">
        <f ca="1">IF(B578=0,"",IF(B578="no pick","No Pick",IF(LEFT(B578,LEN(B$4))=B$4,B$4,C$4)))</f>
        <v/>
      </c>
      <c r="H578" s="95" t="str">
        <f t="shared" ca="1" si="221"/>
        <v>0-0</v>
      </c>
      <c r="J578" s="97">
        <f>D$4</f>
        <v>1</v>
      </c>
      <c r="K578" s="95" t="str">
        <f t="shared" ca="1" si="222"/>
        <v>SR</v>
      </c>
      <c r="L578" s="95" t="str">
        <f t="shared" ca="1" si="223"/>
        <v>0</v>
      </c>
      <c r="M578" s="95" t="str">
        <f t="shared" ca="1" si="224"/>
        <v>0</v>
      </c>
      <c r="N578" s="95" t="str">
        <f t="shared" ca="1" si="225"/>
        <v>0</v>
      </c>
      <c r="O578" s="95" t="str">
        <f t="shared" ca="1" si="226"/>
        <v>0</v>
      </c>
      <c r="P578" s="95" t="str">
        <f t="shared" ca="1" si="227"/>
        <v>0</v>
      </c>
      <c r="Q578" s="95">
        <f ca="1">IF(AND(G578=T$4,LEN(G578)&gt;1),1,0)</f>
        <v>0</v>
      </c>
      <c r="R578" s="97">
        <f>Doubles!G$4</f>
        <v>3</v>
      </c>
      <c r="S578" s="95">
        <f ca="1">IF(AND(H578=H$4,LEN(H578)&gt;1,Q578=1),1,0)</f>
        <v>0</v>
      </c>
      <c r="V578" s="97">
        <f ca="1">VLOOKUP(3,R576:S599,2,0)</f>
        <v>0</v>
      </c>
      <c r="W578" s="95">
        <v>3</v>
      </c>
    </row>
    <row r="579" spans="1:23">
      <c r="A579" s="95">
        <v>4</v>
      </c>
      <c r="B579" s="95">
        <f ca="1">IF(Doubles!H94="",0,Doubles!H94)</f>
        <v>0</v>
      </c>
      <c r="C579" s="99" t="str">
        <f ca="1">IF(OR(LEFT(B579,LEN(B$5))=B$5,LEFT(B579,LEN(C$5))=C$5,LEN(B579)&lt;2),"",IF(B579="no pick","","Wrong pick"))</f>
        <v/>
      </c>
      <c r="E579" s="95">
        <f t="shared" ca="1" si="220"/>
        <v>1</v>
      </c>
      <c r="G579" s="95" t="str">
        <f ca="1">IF(B579=0,"",IF(B579="no pick","No Pick",IF(LEFT(B579,LEN(B$5))=B$5,B$5,C$5)))</f>
        <v/>
      </c>
      <c r="H579" s="95" t="str">
        <f t="shared" ca="1" si="221"/>
        <v>0-0</v>
      </c>
      <c r="J579" s="97">
        <f>D$5</f>
        <v>1</v>
      </c>
      <c r="K579" s="95" t="str">
        <f t="shared" ca="1" si="222"/>
        <v>SR</v>
      </c>
      <c r="L579" s="95" t="str">
        <f t="shared" ca="1" si="223"/>
        <v>0</v>
      </c>
      <c r="M579" s="95" t="str">
        <f t="shared" ca="1" si="224"/>
        <v>0</v>
      </c>
      <c r="N579" s="95" t="str">
        <f t="shared" ca="1" si="225"/>
        <v>0</v>
      </c>
      <c r="O579" s="95" t="str">
        <f t="shared" ca="1" si="226"/>
        <v>0</v>
      </c>
      <c r="P579" s="95" t="str">
        <f t="shared" ca="1" si="227"/>
        <v>0</v>
      </c>
      <c r="Q579" s="95">
        <f ca="1">IF(AND(G579=T$5,LEN(G579)&gt;1),1,0)</f>
        <v>0</v>
      </c>
      <c r="R579" s="97">
        <f>Doubles!G$5</f>
        <v>4</v>
      </c>
      <c r="S579" s="95">
        <f ca="1">IF(AND(H579=H$5,LEN(H579)&gt;1,Q579=1),1,0)</f>
        <v>0</v>
      </c>
      <c r="V579" s="97">
        <f ca="1">VLOOKUP(4,R576:S599,2,0)</f>
        <v>0</v>
      </c>
      <c r="W579" s="95">
        <v>4</v>
      </c>
    </row>
    <row r="580" spans="1:23">
      <c r="A580" s="95">
        <v>5</v>
      </c>
      <c r="B580" s="95">
        <f ca="1">IF(Doubles!H95="",0,Doubles!H95)</f>
        <v>0</v>
      </c>
      <c r="C580" s="99" t="str">
        <f ca="1">IF(OR(LEFT(B580,LEN(B$6))=B$6,LEFT(B580,LEN(C$6))=C$6,LEN(B580)&lt;2),"",IF(B580="no pick","","Wrong pick"))</f>
        <v/>
      </c>
      <c r="E580" s="95">
        <f t="shared" ca="1" si="220"/>
        <v>1</v>
      </c>
      <c r="G580" s="95" t="str">
        <f ca="1">IF(B580=0,"",IF(B580="no pick","No Pick",IF(LEFT(B580,LEN(B$6))=B$6,B$6,C$6)))</f>
        <v/>
      </c>
      <c r="H580" s="95" t="str">
        <f t="shared" ca="1" si="221"/>
        <v>0-0</v>
      </c>
      <c r="J580" s="97">
        <f>D$6</f>
        <v>1</v>
      </c>
      <c r="K580" s="95" t="str">
        <f t="shared" ca="1" si="222"/>
        <v>SR</v>
      </c>
      <c r="L580" s="95" t="str">
        <f t="shared" ca="1" si="223"/>
        <v>0</v>
      </c>
      <c r="M580" s="95" t="str">
        <f t="shared" ca="1" si="224"/>
        <v>0</v>
      </c>
      <c r="N580" s="95" t="str">
        <f t="shared" ca="1" si="225"/>
        <v>0</v>
      </c>
      <c r="O580" s="95" t="str">
        <f t="shared" ca="1" si="226"/>
        <v>0</v>
      </c>
      <c r="P580" s="95" t="str">
        <f t="shared" ca="1" si="227"/>
        <v>0</v>
      </c>
      <c r="Q580" s="95">
        <f ca="1">IF(AND(G580=T$6,LEN(G580)&gt;1),1,0)</f>
        <v>0</v>
      </c>
      <c r="R580" s="97">
        <f>Doubles!G$6</f>
        <v>5</v>
      </c>
      <c r="S580" s="95">
        <f ca="1">IF(AND(H580=H$6,LEN(H580)&gt;1,Q580=1),1,0)</f>
        <v>0</v>
      </c>
      <c r="V580" s="97">
        <f ca="1">VLOOKUP(5,R576:S599,2,0)</f>
        <v>0</v>
      </c>
      <c r="W580" s="95">
        <v>5</v>
      </c>
    </row>
    <row r="581" spans="1:23">
      <c r="A581" s="95">
        <v>6</v>
      </c>
      <c r="B581" s="95">
        <f ca="1">IF(Doubles!H96="",0,Doubles!H96)</f>
        <v>0</v>
      </c>
      <c r="C581" s="99" t="str">
        <f ca="1">IF(OR(LEFT(B581,LEN(B$7))=B$7,LEFT(B581,LEN(C$7))=C$7,LEN(B581)&lt;2),"",IF(B581="no pick","","Wrong pick"))</f>
        <v/>
      </c>
      <c r="E581" s="95">
        <f t="shared" ca="1" si="220"/>
        <v>1</v>
      </c>
      <c r="G581" s="95" t="str">
        <f ca="1">IF(B581=0,"",IF(B581="no pick","No Pick",IF(LEFT(B581,LEN(B$7))=B$7,B$7,C$7)))</f>
        <v/>
      </c>
      <c r="H581" s="95" t="str">
        <f t="shared" ca="1" si="221"/>
        <v>0-0</v>
      </c>
      <c r="J581" s="97">
        <f>D$7</f>
        <v>1</v>
      </c>
      <c r="K581" s="95" t="str">
        <f t="shared" ca="1" si="222"/>
        <v>SR</v>
      </c>
      <c r="L581" s="95" t="str">
        <f t="shared" ca="1" si="223"/>
        <v>0</v>
      </c>
      <c r="M581" s="95" t="str">
        <f t="shared" ca="1" si="224"/>
        <v>0</v>
      </c>
      <c r="N581" s="95" t="str">
        <f t="shared" ca="1" si="225"/>
        <v>0</v>
      </c>
      <c r="O581" s="95" t="str">
        <f t="shared" ca="1" si="226"/>
        <v>0</v>
      </c>
      <c r="P581" s="95" t="str">
        <f t="shared" ca="1" si="227"/>
        <v>0</v>
      </c>
      <c r="Q581" s="95">
        <f ca="1">IF(AND(G581=T$7,LEN(G581)&gt;1),1,0)</f>
        <v>0</v>
      </c>
      <c r="R581" s="97">
        <f>Doubles!G$7</f>
        <v>6</v>
      </c>
      <c r="S581" s="95">
        <f ca="1">IF(AND(H581=H$7,LEN(H581)&gt;1,Q581=1),1,0)</f>
        <v>0</v>
      </c>
      <c r="V581" s="97">
        <f ca="1">VLOOKUP(6,R576:S599,2,0)</f>
        <v>0</v>
      </c>
      <c r="W581" s="95">
        <v>6</v>
      </c>
    </row>
    <row r="582" spans="1:23">
      <c r="A582" s="95">
        <v>7</v>
      </c>
      <c r="B582" s="95">
        <f ca="1">IF(Doubles!H97="",0,Doubles!H97)</f>
        <v>0</v>
      </c>
      <c r="C582" s="99" t="str">
        <f ca="1">IF(OR(LEFT(B582,LEN(B$8))=B$8,LEFT(B582,LEN(C$8))=C$8,LEN(B582)&lt;2),"",IF(B582="no pick","","Wrong pick"))</f>
        <v/>
      </c>
      <c r="E582" s="95">
        <f t="shared" ca="1" si="220"/>
        <v>1</v>
      </c>
      <c r="G582" s="95" t="str">
        <f ca="1">IF(B582=0,"",IF(B582="no pick","No Pick",IF(LEFT(B582,LEN(B$8))=B$8,B$8,C$8)))</f>
        <v/>
      </c>
      <c r="H582" s="95" t="str">
        <f t="shared" ca="1" si="221"/>
        <v>0-0</v>
      </c>
      <c r="J582" s="97">
        <f>D$8</f>
        <v>1</v>
      </c>
      <c r="K582" s="95" t="str">
        <f t="shared" ca="1" si="222"/>
        <v>SR</v>
      </c>
      <c r="L582" s="95" t="str">
        <f t="shared" ca="1" si="223"/>
        <v>0</v>
      </c>
      <c r="M582" s="95" t="str">
        <f t="shared" ca="1" si="224"/>
        <v>0</v>
      </c>
      <c r="N582" s="95" t="str">
        <f t="shared" ca="1" si="225"/>
        <v>0</v>
      </c>
      <c r="O582" s="95" t="str">
        <f t="shared" ca="1" si="226"/>
        <v>0</v>
      </c>
      <c r="P582" s="95" t="str">
        <f t="shared" ca="1" si="227"/>
        <v>0</v>
      </c>
      <c r="Q582" s="95">
        <f ca="1">IF(AND(G582=T$8,LEN(G582)&gt;1),1,0)</f>
        <v>0</v>
      </c>
      <c r="R582" s="97">
        <f>Doubles!G$8</f>
        <v>7</v>
      </c>
      <c r="S582" s="95">
        <f ca="1">IF(AND(H582=H$8,LEN(H582)&gt;1,Q582=1),1,0)</f>
        <v>0</v>
      </c>
      <c r="V582" s="97">
        <f ca="1">VLOOKUP(7,R576:S599,2,0)</f>
        <v>0</v>
      </c>
      <c r="W582" s="95">
        <v>7</v>
      </c>
    </row>
    <row r="583" spans="1:23">
      <c r="A583" s="95">
        <v>8</v>
      </c>
      <c r="B583" s="95">
        <f ca="1">IF(Doubles!H98="",0,Doubles!H98)</f>
        <v>0</v>
      </c>
      <c r="C583" s="99" t="str">
        <f ca="1">IF(OR(LEFT(B583,LEN(B$9))=B$9,LEFT(B583,LEN(C$9))=C$9,LEN(B583)&lt;2),"",IF(B583="no pick","","Wrong pick"))</f>
        <v/>
      </c>
      <c r="E583" s="95">
        <f t="shared" ca="1" si="220"/>
        <v>1</v>
      </c>
      <c r="G583" s="95" t="str">
        <f ca="1">IF(B583=0,"",IF(B583="no pick","No Pick",IF(LEFT(B583,LEN(B$9))=B$9,B$9,C$9)))</f>
        <v/>
      </c>
      <c r="H583" s="95" t="str">
        <f t="shared" ca="1" si="221"/>
        <v>0-0</v>
      </c>
      <c r="J583" s="97">
        <f>D$9</f>
        <v>1</v>
      </c>
      <c r="K583" s="95" t="str">
        <f t="shared" ca="1" si="222"/>
        <v>SR</v>
      </c>
      <c r="L583" s="95" t="str">
        <f t="shared" ca="1" si="223"/>
        <v>0</v>
      </c>
      <c r="M583" s="95" t="str">
        <f t="shared" ca="1" si="224"/>
        <v>0</v>
      </c>
      <c r="N583" s="95" t="str">
        <f t="shared" ca="1" si="225"/>
        <v>0</v>
      </c>
      <c r="O583" s="95" t="str">
        <f t="shared" ca="1" si="226"/>
        <v>0</v>
      </c>
      <c r="P583" s="95" t="str">
        <f t="shared" ca="1" si="227"/>
        <v>0</v>
      </c>
      <c r="Q583" s="95">
        <f ca="1">IF(AND(G583=T$9,LEN(G583)&gt;1),1,0)</f>
        <v>0</v>
      </c>
      <c r="R583" s="97">
        <f>Doubles!G$9</f>
        <v>8</v>
      </c>
      <c r="S583" s="95">
        <f ca="1">IF(AND(H583=H$9,LEN(H583)&gt;1,Q583=1),1,0)</f>
        <v>0</v>
      </c>
      <c r="V583" s="97">
        <f ca="1">VLOOKUP(8,R576:S599,2,0)</f>
        <v>0</v>
      </c>
      <c r="W583" s="95">
        <v>8</v>
      </c>
    </row>
    <row r="584" spans="1:23">
      <c r="A584" s="95">
        <v>9</v>
      </c>
      <c r="B584" s="95">
        <f ca="1">IF(Doubles!H99="",0,Doubles!H99)</f>
        <v>0</v>
      </c>
      <c r="C584" s="99" t="str">
        <f ca="1">IF(OR(LEFT(B584,LEN(B$10))=B$10,LEFT(B584,LEN(C$10))=C$10,LEN(B584)&lt;2),"",IF(B584="no pick","","Wrong pick"))</f>
        <v/>
      </c>
      <c r="E584" s="95">
        <f t="shared" ca="1" si="220"/>
        <v>1</v>
      </c>
      <c r="G584" s="95" t="str">
        <f ca="1">IF(B584=0,"",IF(B584="no pick","No Pick",IF(LEFT(B584,LEN(B$10))=B$10,B$10,C$10)))</f>
        <v/>
      </c>
      <c r="H584" s="95" t="str">
        <f t="shared" ca="1" si="221"/>
        <v>0-0</v>
      </c>
      <c r="J584" s="97">
        <f>D$10</f>
        <v>1</v>
      </c>
      <c r="K584" s="95" t="str">
        <f t="shared" ca="1" si="222"/>
        <v>SR</v>
      </c>
      <c r="L584" s="95" t="str">
        <f t="shared" ca="1" si="223"/>
        <v>0</v>
      </c>
      <c r="M584" s="95" t="str">
        <f t="shared" ca="1" si="224"/>
        <v>0</v>
      </c>
      <c r="N584" s="95" t="str">
        <f t="shared" ca="1" si="225"/>
        <v>0</v>
      </c>
      <c r="O584" s="95" t="str">
        <f t="shared" ca="1" si="226"/>
        <v>0</v>
      </c>
      <c r="P584" s="95" t="str">
        <f t="shared" ca="1" si="227"/>
        <v>0</v>
      </c>
      <c r="Q584" s="95">
        <f ca="1">IF(AND(G584=T$10,LEN(G584)&gt;1),1,0)</f>
        <v>0</v>
      </c>
      <c r="R584" s="97">
        <f>Doubles!G$10</f>
        <v>9</v>
      </c>
      <c r="S584" s="95">
        <f ca="1">IF(AND(H584=H$10,LEN(H584)&gt;1,Q584=1),1,0)</f>
        <v>0</v>
      </c>
      <c r="V584" s="97">
        <f ca="1">VLOOKUP(9,R576:S599,2,0)</f>
        <v>0</v>
      </c>
      <c r="W584" s="95">
        <v>9</v>
      </c>
    </row>
    <row r="585" spans="1:23">
      <c r="A585" s="95">
        <v>10</v>
      </c>
      <c r="B585" s="95">
        <f ca="1">IF(Doubles!H100="",0,Doubles!H100)</f>
        <v>0</v>
      </c>
      <c r="C585" s="99" t="str">
        <f ca="1">IF(OR(LEFT(B585,LEN(B$11))=B$11,LEFT(B585,LEN(C$11))=C$11,LEN(B585)&lt;2),"",IF(B585="no pick","","Wrong pick"))</f>
        <v/>
      </c>
      <c r="E585" s="95">
        <f t="shared" ca="1" si="220"/>
        <v>1</v>
      </c>
      <c r="G585" s="95" t="str">
        <f ca="1">IF(B585=0,"",IF(B585="no pick","No Pick",IF(LEFT(B585,LEN(B$11))=B$11,B$11,C$11)))</f>
        <v/>
      </c>
      <c r="H585" s="95" t="str">
        <f t="shared" ca="1" si="221"/>
        <v>0-0</v>
      </c>
      <c r="J585" s="97">
        <f>D$11</f>
        <v>1</v>
      </c>
      <c r="K585" s="95" t="str">
        <f t="shared" ca="1" si="222"/>
        <v>SR</v>
      </c>
      <c r="L585" s="95" t="str">
        <f t="shared" ca="1" si="223"/>
        <v>0</v>
      </c>
      <c r="M585" s="95" t="str">
        <f t="shared" ca="1" si="224"/>
        <v>0</v>
      </c>
      <c r="N585" s="95" t="str">
        <f t="shared" ca="1" si="225"/>
        <v>0</v>
      </c>
      <c r="O585" s="95" t="str">
        <f t="shared" ca="1" si="226"/>
        <v>0</v>
      </c>
      <c r="P585" s="95" t="str">
        <f t="shared" ca="1" si="227"/>
        <v>0</v>
      </c>
      <c r="Q585" s="95">
        <f ca="1">IF(AND(G585=T$11,LEN(G585)&gt;1),1,0)</f>
        <v>0</v>
      </c>
      <c r="R585" s="97">
        <f>Doubles!G$11</f>
        <v>10</v>
      </c>
      <c r="S585" s="95">
        <f ca="1">IF(AND(H585=H$11,LEN(H585)&gt;1,Q585=1),1,0)</f>
        <v>0</v>
      </c>
      <c r="V585" s="97">
        <f ca="1">VLOOKUP(10,R576:S599,2,0)</f>
        <v>0</v>
      </c>
      <c r="W585" s="95">
        <v>10</v>
      </c>
    </row>
    <row r="586" spans="1:23">
      <c r="A586" s="95">
        <v>11</v>
      </c>
      <c r="B586" s="95">
        <f ca="1">IF(Doubles!H101="",0,Doubles!H101)</f>
        <v>0</v>
      </c>
      <c r="C586" s="99" t="str">
        <f ca="1">IF(OR(LEFT(B586,LEN(B$12))=B$12,LEFT(B586,LEN(C$12))=C$12,LEN(B586)&lt;2),"",IF(B586="no pick","","Wrong pick"))</f>
        <v/>
      </c>
      <c r="E586" s="95">
        <f t="shared" ca="1" si="220"/>
        <v>1</v>
      </c>
      <c r="G586" s="95" t="str">
        <f ca="1">IF(B586=0,"",IF(B586="no pick","No Pick",IF(LEFT(B586,LEN(B$12))=B$12,B$12,C$12)))</f>
        <v/>
      </c>
      <c r="H586" s="95" t="str">
        <f t="shared" ca="1" si="221"/>
        <v>0-0</v>
      </c>
      <c r="J586" s="97">
        <f>D$12</f>
        <v>1</v>
      </c>
      <c r="K586" s="95" t="str">
        <f t="shared" ca="1" si="222"/>
        <v>SR</v>
      </c>
      <c r="L586" s="95" t="str">
        <f t="shared" ca="1" si="223"/>
        <v>0</v>
      </c>
      <c r="M586" s="95" t="str">
        <f t="shared" ca="1" si="224"/>
        <v>0</v>
      </c>
      <c r="N586" s="95" t="str">
        <f t="shared" ca="1" si="225"/>
        <v>0</v>
      </c>
      <c r="O586" s="95" t="str">
        <f t="shared" ca="1" si="226"/>
        <v>0</v>
      </c>
      <c r="P586" s="95" t="str">
        <f t="shared" ca="1" si="227"/>
        <v>0</v>
      </c>
      <c r="Q586" s="95">
        <f ca="1">IF(AND(G586=T$12,LEN(G586)&gt;1),1,0)</f>
        <v>0</v>
      </c>
      <c r="R586" s="97">
        <f>Doubles!G$12</f>
        <v>11</v>
      </c>
      <c r="S586" s="95">
        <f ca="1">IF(AND(H586=H$12,LEN(H586)&gt;1,Q586=1),1,0)</f>
        <v>0</v>
      </c>
      <c r="V586" s="97">
        <f ca="1">VLOOKUP(11,R576:S599,2,0)</f>
        <v>0</v>
      </c>
      <c r="W586" s="95">
        <v>11</v>
      </c>
    </row>
    <row r="587" spans="1:23">
      <c r="A587" s="95">
        <v>12</v>
      </c>
      <c r="B587" s="95">
        <f ca="1">IF(Doubles!H102="",0,Doubles!H102)</f>
        <v>0</v>
      </c>
      <c r="C587" s="99" t="str">
        <f ca="1">IF(OR(LEFT(B587,LEN(B$13))=B$13,LEFT(B587,LEN(C$13))=C$13,LEN(B587)&lt;2),"",IF(B587="no pick","","Wrong pick"))</f>
        <v/>
      </c>
      <c r="E587" s="95">
        <f t="shared" ca="1" si="220"/>
        <v>1</v>
      </c>
      <c r="G587" s="95" t="str">
        <f ca="1">IF(B587=0,"",IF(B587="no pick","No Pick",IF(LEFT(B587,LEN(B$13))=B$13,B$13,C$13)))</f>
        <v/>
      </c>
      <c r="H587" s="95" t="str">
        <f t="shared" ca="1" si="221"/>
        <v>0-0</v>
      </c>
      <c r="J587" s="97">
        <f>D$13</f>
        <v>1</v>
      </c>
      <c r="K587" s="95" t="str">
        <f t="shared" ca="1" si="222"/>
        <v>SR</v>
      </c>
      <c r="L587" s="95" t="str">
        <f t="shared" ca="1" si="223"/>
        <v>0</v>
      </c>
      <c r="M587" s="95" t="str">
        <f t="shared" ca="1" si="224"/>
        <v>0</v>
      </c>
      <c r="N587" s="95" t="str">
        <f t="shared" ca="1" si="225"/>
        <v>0</v>
      </c>
      <c r="O587" s="95" t="str">
        <f t="shared" ca="1" si="226"/>
        <v>0</v>
      </c>
      <c r="P587" s="95" t="str">
        <f t="shared" ca="1" si="227"/>
        <v>0</v>
      </c>
      <c r="Q587" s="95">
        <f ca="1">IF(AND(G587=T$13,LEN(G587)&gt;1),1,0)</f>
        <v>0</v>
      </c>
      <c r="R587" s="97">
        <f>Doubles!G$13</f>
        <v>12</v>
      </c>
      <c r="S587" s="95">
        <f ca="1">IF(AND(H587=H$13,LEN(H587)&gt;1,Q587=1),1,0)</f>
        <v>0</v>
      </c>
      <c r="V587" s="97">
        <f ca="1">VLOOKUP(12,R576:S599,2,0)</f>
        <v>0</v>
      </c>
      <c r="W587" s="95">
        <v>12</v>
      </c>
    </row>
    <row r="588" spans="1:23">
      <c r="A588" s="95">
        <v>13</v>
      </c>
      <c r="B588" s="95">
        <f ca="1">IF(Doubles!H103="",0,Doubles!H103)</f>
        <v>0</v>
      </c>
      <c r="C588" s="99" t="str">
        <f ca="1">IF(OR(LEFT(B588,LEN(B$14))=B$14,LEFT(B588,LEN(C$14))=C$14,LEN(B588)&lt;2),"",IF(B588="no pick","","Wrong pick"))</f>
        <v/>
      </c>
      <c r="E588" s="95">
        <f t="shared" ca="1" si="220"/>
        <v>1</v>
      </c>
      <c r="G588" s="95" t="str">
        <f ca="1">IF(B588=0,"",IF(B588="no pick","No Pick",IF(LEFT(B588,LEN(B$14))=B$14,B$14,C$14)))</f>
        <v/>
      </c>
      <c r="H588" s="95" t="str">
        <f t="shared" ca="1" si="221"/>
        <v>0-0</v>
      </c>
      <c r="J588" s="97">
        <f>D$14</f>
        <v>1</v>
      </c>
      <c r="K588" s="95" t="str">
        <f t="shared" ca="1" si="222"/>
        <v>SR</v>
      </c>
      <c r="L588" s="95" t="str">
        <f t="shared" ca="1" si="223"/>
        <v>0</v>
      </c>
      <c r="M588" s="95" t="str">
        <f t="shared" ca="1" si="224"/>
        <v>0</v>
      </c>
      <c r="N588" s="95" t="str">
        <f t="shared" ca="1" si="225"/>
        <v>0</v>
      </c>
      <c r="O588" s="95" t="str">
        <f t="shared" ca="1" si="226"/>
        <v>0</v>
      </c>
      <c r="P588" s="95" t="str">
        <f t="shared" ca="1" si="227"/>
        <v>0</v>
      </c>
      <c r="Q588" s="95">
        <f ca="1">IF(AND(G588=T$14,LEN(G588)&gt;1),1,0)</f>
        <v>0</v>
      </c>
      <c r="R588" s="97">
        <f>Doubles!G$14</f>
        <v>13</v>
      </c>
      <c r="S588" s="95">
        <f ca="1">IF(AND(H588=H$14,LEN(H588)&gt;1,Q588=1),1,0)</f>
        <v>0</v>
      </c>
      <c r="V588" s="97">
        <f ca="1">VLOOKUP(13,R576:S599,2,0)</f>
        <v>0</v>
      </c>
      <c r="W588" s="95">
        <v>13</v>
      </c>
    </row>
    <row r="589" spans="1:23">
      <c r="A589" s="95">
        <v>14</v>
      </c>
      <c r="B589" s="95">
        <f ca="1">IF(Doubles!H104="",0,Doubles!H104)</f>
        <v>0</v>
      </c>
      <c r="C589" s="99" t="str">
        <f ca="1">IF(OR(LEFT(B589,LEN(B$15))=B$15,LEFT(B589,LEN(C$15))=C$15,LEN(B589)&lt;2),"",IF(B589="no pick","","Wrong pick"))</f>
        <v/>
      </c>
      <c r="E589" s="95">
        <f t="shared" ca="1" si="220"/>
        <v>1</v>
      </c>
      <c r="G589" s="95" t="str">
        <f ca="1">IF(B589=0,"",IF(B589="no pick","No Pick",IF(LEFT(B589,LEN(B$15))=B$15,B$15,C$15)))</f>
        <v/>
      </c>
      <c r="H589" s="95" t="str">
        <f t="shared" ca="1" si="221"/>
        <v>0-0</v>
      </c>
      <c r="J589" s="97">
        <f>D$15</f>
        <v>1</v>
      </c>
      <c r="K589" s="95" t="str">
        <f t="shared" ca="1" si="222"/>
        <v>SR</v>
      </c>
      <c r="L589" s="95" t="str">
        <f t="shared" ca="1" si="223"/>
        <v>0</v>
      </c>
      <c r="M589" s="95" t="str">
        <f t="shared" ca="1" si="224"/>
        <v>0</v>
      </c>
      <c r="N589" s="95" t="str">
        <f t="shared" ca="1" si="225"/>
        <v>0</v>
      </c>
      <c r="O589" s="95" t="str">
        <f t="shared" ca="1" si="226"/>
        <v>0</v>
      </c>
      <c r="P589" s="95" t="str">
        <f t="shared" ca="1" si="227"/>
        <v>0</v>
      </c>
      <c r="Q589" s="95">
        <f ca="1">IF(AND(G589=T$15,LEN(G589)&gt;1),1,0)</f>
        <v>0</v>
      </c>
      <c r="R589" s="97">
        <f>Doubles!G$15</f>
        <v>14</v>
      </c>
      <c r="S589" s="95">
        <f ca="1">IF(AND(H589=H$15,LEN(H589)&gt;1,Q589=1),1,0)</f>
        <v>0</v>
      </c>
      <c r="V589" s="97">
        <f ca="1">VLOOKUP(14,R576:S599,2,0)</f>
        <v>0</v>
      </c>
      <c r="W589" s="95">
        <v>14</v>
      </c>
    </row>
    <row r="590" spans="1:23">
      <c r="A590" s="95">
        <v>15</v>
      </c>
      <c r="B590" s="95">
        <f ca="1">IF(Doubles!H105="",0,Doubles!H105)</f>
        <v>0</v>
      </c>
      <c r="C590" s="99" t="str">
        <f ca="1">IF(OR(LEFT(B590,LEN(B$16))=B$16,LEFT(B590,LEN(C$16))=C$16,LEN(B590)&lt;2),"",IF(B590="no pick","","Wrong pick"))</f>
        <v/>
      </c>
      <c r="E590" s="95">
        <f t="shared" ca="1" si="220"/>
        <v>1</v>
      </c>
      <c r="G590" s="95" t="str">
        <f ca="1">IF(B590=0,"",IF(B590="no pick","No Pick",IF(LEFT(B590,LEN(B$16))=B$16,B$16,C$16)))</f>
        <v/>
      </c>
      <c r="H590" s="95" t="str">
        <f t="shared" ca="1" si="221"/>
        <v>0-0</v>
      </c>
      <c r="J590" s="97">
        <f>D$16</f>
        <v>1</v>
      </c>
      <c r="K590" s="95" t="str">
        <f t="shared" ca="1" si="222"/>
        <v>SR</v>
      </c>
      <c r="L590" s="95" t="str">
        <f t="shared" ca="1" si="223"/>
        <v>0</v>
      </c>
      <c r="M590" s="95" t="str">
        <f t="shared" ca="1" si="224"/>
        <v>0</v>
      </c>
      <c r="N590" s="95" t="str">
        <f t="shared" ca="1" si="225"/>
        <v>0</v>
      </c>
      <c r="O590" s="95" t="str">
        <f t="shared" ca="1" si="226"/>
        <v>0</v>
      </c>
      <c r="P590" s="95" t="str">
        <f t="shared" ca="1" si="227"/>
        <v>0</v>
      </c>
      <c r="Q590" s="95">
        <f ca="1">IF(AND(G590=T$16,LEN(G590)&gt;1),1,0)</f>
        <v>0</v>
      </c>
      <c r="R590" s="97">
        <f>Doubles!G$16</f>
        <v>15</v>
      </c>
      <c r="S590" s="95">
        <f ca="1">IF(AND(H590=H$16,LEN(H590)&gt;1,Q590=1),1,0)</f>
        <v>0</v>
      </c>
      <c r="V590" s="97">
        <f ca="1">VLOOKUP(15,R576:S599,2,0)</f>
        <v>0</v>
      </c>
      <c r="W590" s="95">
        <v>15</v>
      </c>
    </row>
    <row r="591" spans="1:23">
      <c r="A591" s="95">
        <v>16</v>
      </c>
      <c r="B591" s="95">
        <f ca="1">IF(Doubles!H106="",0,Doubles!H106)</f>
        <v>0</v>
      </c>
      <c r="C591" s="99" t="str">
        <f ca="1">IF(OR(LEFT(B591,LEN(B$17))=B$17,LEFT(B591,LEN(C$17))=C$17,LEN(B591)&lt;2),"",IF(B591="no pick","","Wrong pick"))</f>
        <v/>
      </c>
      <c r="E591" s="95">
        <f t="shared" ca="1" si="220"/>
        <v>1</v>
      </c>
      <c r="G591" s="95" t="str">
        <f ca="1">IF(B591=0,"",IF(B591="no pick","No Pick",IF(LEFT(B591,LEN(B$17))=B$17,B$17,C$17)))</f>
        <v/>
      </c>
      <c r="H591" s="95" t="str">
        <f t="shared" ca="1" si="221"/>
        <v>0-0</v>
      </c>
      <c r="J591" s="97">
        <f>D$17</f>
        <v>1</v>
      </c>
      <c r="K591" s="95" t="str">
        <f t="shared" ca="1" si="222"/>
        <v>SR</v>
      </c>
      <c r="L591" s="95" t="str">
        <f t="shared" ca="1" si="223"/>
        <v>0</v>
      </c>
      <c r="M591" s="95" t="str">
        <f t="shared" ca="1" si="224"/>
        <v>0</v>
      </c>
      <c r="N591" s="95" t="str">
        <f t="shared" ca="1" si="225"/>
        <v>0</v>
      </c>
      <c r="O591" s="95" t="str">
        <f t="shared" ca="1" si="226"/>
        <v>0</v>
      </c>
      <c r="P591" s="95" t="str">
        <f t="shared" ca="1" si="227"/>
        <v>0</v>
      </c>
      <c r="Q591" s="95">
        <f ca="1">IF(AND(G591=T$17,LEN(G591)&gt;1),1,0)</f>
        <v>0</v>
      </c>
      <c r="R591" s="97">
        <f>Doubles!G$17</f>
        <v>16</v>
      </c>
      <c r="S591" s="95">
        <f ca="1">IF(AND(H591=H$17,LEN(H591)&gt;1,Q591=1),1,0)</f>
        <v>0</v>
      </c>
      <c r="V591" s="97">
        <f ca="1">VLOOKUP(16,R576:S599,2,0)</f>
        <v>0</v>
      </c>
      <c r="W591" s="95">
        <v>16</v>
      </c>
    </row>
    <row r="592" spans="1:23">
      <c r="A592" s="95">
        <v>17</v>
      </c>
      <c r="B592" s="95">
        <f>IF(Doubles!H107="",0,Doubles!H107)</f>
        <v>0</v>
      </c>
      <c r="C592" s="99" t="str">
        <f>IF(OR(LEFT(B592,LEN(B$18))=B$18,LEFT(B592,LEN(C$18))=C$18,LEN(B592)&lt;2),"",IF(B592="no pick","","Wrong pick"))</f>
        <v/>
      </c>
      <c r="E592" s="95">
        <f t="shared" si="220"/>
        <v>0</v>
      </c>
      <c r="G592" s="95" t="str">
        <f>IF(B592=0,"",IF(B592="no pick","No Pick",IF(LEFT(B592,LEN(B$18))=B$18,B$18,C$18)))</f>
        <v/>
      </c>
      <c r="H592" s="95" t="str">
        <f t="shared" si="221"/>
        <v>0-0</v>
      </c>
      <c r="J592" s="95">
        <f>D$18</f>
        <v>0</v>
      </c>
      <c r="K592" s="95" t="str">
        <f t="shared" si="222"/>
        <v>SR</v>
      </c>
      <c r="L592" s="95" t="str">
        <f t="shared" si="223"/>
        <v>0</v>
      </c>
      <c r="M592" s="95" t="str">
        <f t="shared" si="224"/>
        <v>0</v>
      </c>
      <c r="N592" s="95" t="str">
        <f t="shared" si="225"/>
        <v>0</v>
      </c>
      <c r="O592" s="95" t="str">
        <f t="shared" si="226"/>
        <v>0</v>
      </c>
      <c r="P592" s="95" t="str">
        <f t="shared" si="227"/>
        <v>0</v>
      </c>
      <c r="Q592" s="95">
        <f>IF(AND(G592=T$18,LEN(G592)&gt;1),1,0)</f>
        <v>0</v>
      </c>
      <c r="R592" s="97">
        <f>Doubles!G$18</f>
        <v>17</v>
      </c>
      <c r="S592" s="95">
        <f>IF(AND(H592=H$18,LEN(H592)&gt;1,Q592=1),1,0)</f>
        <v>0</v>
      </c>
      <c r="V592" s="97">
        <f>VLOOKUP(17,R576:S599,2,0)</f>
        <v>0</v>
      </c>
      <c r="W592" s="95">
        <v>17</v>
      </c>
    </row>
    <row r="593" spans="1:29">
      <c r="A593" s="95">
        <v>18</v>
      </c>
      <c r="B593" s="95">
        <f>IF(Doubles!H108="",0,Doubles!H108)</f>
        <v>0</v>
      </c>
      <c r="C593" s="99" t="str">
        <f>IF(OR(LEFT(B593,LEN(B$19))=B$19,LEFT(B593,LEN(C$19))=C$19,LEN(B593)&lt;2),"",IF(B593="no pick","","Wrong pick"))</f>
        <v/>
      </c>
      <c r="E593" s="95">
        <f t="shared" si="220"/>
        <v>0</v>
      </c>
      <c r="G593" s="95" t="str">
        <f>IF(B593=0,"",IF(B593="no pick","No Pick",IF(LEFT(B593,LEN(B$19))=B$19,B$19,C$19)))</f>
        <v/>
      </c>
      <c r="H593" s="95" t="str">
        <f t="shared" si="221"/>
        <v>0-0</v>
      </c>
      <c r="J593" s="95">
        <f>D$19</f>
        <v>0</v>
      </c>
      <c r="K593" s="95" t="str">
        <f t="shared" si="222"/>
        <v>SR</v>
      </c>
      <c r="L593" s="95" t="str">
        <f t="shared" si="223"/>
        <v>0</v>
      </c>
      <c r="M593" s="95" t="str">
        <f t="shared" si="224"/>
        <v>0</v>
      </c>
      <c r="N593" s="95" t="str">
        <f t="shared" si="225"/>
        <v>0</v>
      </c>
      <c r="O593" s="95" t="str">
        <f t="shared" si="226"/>
        <v>0</v>
      </c>
      <c r="P593" s="95" t="str">
        <f t="shared" si="227"/>
        <v>0</v>
      </c>
      <c r="Q593" s="95">
        <f>IF(AND(G593=T$19,LEN(G593)&gt;1),1,0)</f>
        <v>0</v>
      </c>
      <c r="R593" s="97">
        <f>Doubles!G$19</f>
        <v>18</v>
      </c>
      <c r="S593" s="95">
        <f>IF(AND(H593=H$19,LEN(H593)&gt;1,Q593=1),1,0)</f>
        <v>0</v>
      </c>
      <c r="V593" s="97">
        <f>VLOOKUP(18,R576:S599,2,0)</f>
        <v>0</v>
      </c>
      <c r="W593" s="95">
        <v>18</v>
      </c>
    </row>
    <row r="594" spans="1:29">
      <c r="A594" s="95">
        <v>19</v>
      </c>
      <c r="B594" s="95">
        <f>IF(Doubles!H109="",0,Doubles!H109)</f>
        <v>0</v>
      </c>
      <c r="C594" s="99" t="str">
        <f>IF(OR(LEFT(B594,LEN(B$20))=B$20,LEFT(B594,LEN(C$20))=C$20,LEN(B594)&lt;2),"",IF(B594="no pick","","Wrong pick"))</f>
        <v/>
      </c>
      <c r="E594" s="95">
        <f t="shared" si="220"/>
        <v>0</v>
      </c>
      <c r="G594" s="95" t="str">
        <f>IF(B594=0,"",IF(B594="no pick","No Pick",IF(LEFT(B594,LEN(B$20))=B$20,B$20,C$20)))</f>
        <v/>
      </c>
      <c r="H594" s="95" t="str">
        <f t="shared" si="221"/>
        <v>0-0</v>
      </c>
      <c r="J594" s="95">
        <f>D$20</f>
        <v>0</v>
      </c>
      <c r="K594" s="95" t="str">
        <f t="shared" si="222"/>
        <v>SR</v>
      </c>
      <c r="L594" s="95" t="str">
        <f t="shared" si="223"/>
        <v>0</v>
      </c>
      <c r="M594" s="95" t="str">
        <f t="shared" si="224"/>
        <v>0</v>
      </c>
      <c r="N594" s="95" t="str">
        <f t="shared" si="225"/>
        <v>0</v>
      </c>
      <c r="O594" s="95" t="str">
        <f t="shared" si="226"/>
        <v>0</v>
      </c>
      <c r="P594" s="95" t="str">
        <f t="shared" si="227"/>
        <v>0</v>
      </c>
      <c r="Q594" s="95">
        <f>IF(AND(G594=T$20,LEN(G594)&gt;1),1,0)</f>
        <v>0</v>
      </c>
      <c r="R594" s="97">
        <f>Doubles!G$20</f>
        <v>19</v>
      </c>
      <c r="S594" s="95">
        <f>IF(AND(H594=H$20,LEN(H594)&gt;1,Q594=1),1,0)</f>
        <v>0</v>
      </c>
      <c r="V594" s="97">
        <f>VLOOKUP(19,R576:S599,2,0)</f>
        <v>0</v>
      </c>
      <c r="W594" s="95">
        <v>19</v>
      </c>
    </row>
    <row r="595" spans="1:29">
      <c r="A595" s="95">
        <v>20</v>
      </c>
      <c r="B595" s="95">
        <f>IF(Doubles!H110="",0,Doubles!H110)</f>
        <v>0</v>
      </c>
      <c r="C595" s="99" t="str">
        <f>IF(OR(LEFT(B595,LEN(B$21))=B$21,LEFT(B595,LEN(C$21))=C$21,LEN(B595)&lt;2),"",IF(B595="no pick","","Wrong pick"))</f>
        <v/>
      </c>
      <c r="E595" s="95">
        <f t="shared" si="220"/>
        <v>0</v>
      </c>
      <c r="G595" s="95" t="str">
        <f>IF(B595=0,"",IF(B595="no pick","No Pick",IF(LEFT(B595,LEN(B$21))=B$21,B$21,C$21)))</f>
        <v/>
      </c>
      <c r="H595" s="95" t="str">
        <f t="shared" si="221"/>
        <v>0-0</v>
      </c>
      <c r="J595" s="95">
        <f>D$21</f>
        <v>0</v>
      </c>
      <c r="K595" s="95" t="str">
        <f t="shared" si="222"/>
        <v>SR</v>
      </c>
      <c r="L595" s="95" t="str">
        <f t="shared" si="223"/>
        <v>0</v>
      </c>
      <c r="M595" s="95" t="str">
        <f t="shared" si="224"/>
        <v>0</v>
      </c>
      <c r="N595" s="95" t="str">
        <f t="shared" si="225"/>
        <v>0</v>
      </c>
      <c r="O595" s="95" t="str">
        <f t="shared" si="226"/>
        <v>0</v>
      </c>
      <c r="P595" s="95" t="str">
        <f t="shared" si="227"/>
        <v>0</v>
      </c>
      <c r="Q595" s="95">
        <f>IF(AND(G595=T$21,LEN(G595)&gt;1),1,0)</f>
        <v>0</v>
      </c>
      <c r="R595" s="97">
        <f>Doubles!G$21</f>
        <v>20</v>
      </c>
      <c r="S595" s="95">
        <f>IF(AND(H595=H$21,LEN(H595)&gt;1,Q595=1),1,0)</f>
        <v>0</v>
      </c>
      <c r="V595" s="97">
        <f>VLOOKUP(20,R576:S599,2,0)</f>
        <v>0</v>
      </c>
      <c r="W595" s="95">
        <v>20</v>
      </c>
    </row>
    <row r="596" spans="1:29">
      <c r="A596" s="95">
        <v>21</v>
      </c>
      <c r="B596" s="95">
        <f>IF(Doubles!H111="",0,Doubles!H111)</f>
        <v>0</v>
      </c>
      <c r="C596" s="99" t="str">
        <f>IF(OR(LEFT(B596,LEN(B$22))=B$22,LEFT(B596,LEN(C$22))=C$22,LEN(B596)&lt;2),"",IF(B596="no pick","","Wrong pick"))</f>
        <v/>
      </c>
      <c r="E596" s="95">
        <f t="shared" si="220"/>
        <v>0</v>
      </c>
      <c r="G596" s="95" t="str">
        <f>IF(B596=0,"",IF(B596="no pick","No Pick",IF(LEFT(B596,LEN(B$22))=B$22,B$22,C$22)))</f>
        <v/>
      </c>
      <c r="H596" s="95" t="str">
        <f t="shared" si="221"/>
        <v>0-0</v>
      </c>
      <c r="J596" s="95">
        <f>D$22</f>
        <v>0</v>
      </c>
      <c r="K596" s="95" t="str">
        <f t="shared" si="222"/>
        <v>SR</v>
      </c>
      <c r="L596" s="95" t="str">
        <f t="shared" si="223"/>
        <v>0</v>
      </c>
      <c r="M596" s="95" t="str">
        <f t="shared" si="224"/>
        <v>0</v>
      </c>
      <c r="N596" s="95" t="str">
        <f t="shared" si="225"/>
        <v>0</v>
      </c>
      <c r="O596" s="95" t="str">
        <f t="shared" si="226"/>
        <v>0</v>
      </c>
      <c r="P596" s="95" t="str">
        <f t="shared" si="227"/>
        <v>0</v>
      </c>
      <c r="Q596" s="95">
        <f>IF(AND(G596=T$22,LEN(G596)&gt;1),1,0)</f>
        <v>0</v>
      </c>
      <c r="R596" s="97">
        <f>Doubles!G$22</f>
        <v>21</v>
      </c>
      <c r="S596" s="95">
        <f>IF(AND(H596=H$22,LEN(H596)&gt;1,Q596=1),1,0)</f>
        <v>0</v>
      </c>
      <c r="V596" s="97">
        <f>VLOOKUP(21,R576:S599,2,0)</f>
        <v>0</v>
      </c>
      <c r="W596" s="95">
        <v>21</v>
      </c>
    </row>
    <row r="597" spans="1:29">
      <c r="A597" s="95">
        <v>22</v>
      </c>
      <c r="B597" s="95">
        <f>IF(Doubles!H112="",0,Doubles!H112)</f>
        <v>0</v>
      </c>
      <c r="C597" s="99" t="str">
        <f>IF(OR(LEFT(B597,LEN(B$23))=B$23,LEFT(B597,LEN(C$23))=C$23,LEN(B597)&lt;2),"",IF(B597="no pick","","Wrong pick"))</f>
        <v/>
      </c>
      <c r="E597" s="95">
        <f t="shared" si="220"/>
        <v>0</v>
      </c>
      <c r="G597" s="95" t="str">
        <f>IF(B597=0,"",IF(B597="no pick","No Pick",IF(LEFT(B597,LEN(B$23))=B$23,B$23,C$23)))</f>
        <v/>
      </c>
      <c r="H597" s="95" t="str">
        <f t="shared" si="221"/>
        <v>0-0</v>
      </c>
      <c r="J597" s="95">
        <f>D$23</f>
        <v>0</v>
      </c>
      <c r="K597" s="95" t="str">
        <f t="shared" si="222"/>
        <v>SR</v>
      </c>
      <c r="L597" s="95" t="str">
        <f t="shared" si="223"/>
        <v>0</v>
      </c>
      <c r="M597" s="95" t="str">
        <f t="shared" si="224"/>
        <v>0</v>
      </c>
      <c r="N597" s="95" t="str">
        <f t="shared" si="225"/>
        <v>0</v>
      </c>
      <c r="O597" s="95" t="str">
        <f t="shared" si="226"/>
        <v>0</v>
      </c>
      <c r="P597" s="95" t="str">
        <f t="shared" si="227"/>
        <v>0</v>
      </c>
      <c r="Q597" s="95">
        <f>IF(AND(G597=T$23,LEN(G597)&gt;1),1,0)</f>
        <v>0</v>
      </c>
      <c r="R597" s="97">
        <f>Doubles!G$23</f>
        <v>22</v>
      </c>
      <c r="S597" s="95">
        <f>IF(AND(H597=H$23,LEN(H597)&gt;1,Q597=1),1,0)</f>
        <v>0</v>
      </c>
      <c r="V597" s="97">
        <f>VLOOKUP(22,R576:S599,2,0)</f>
        <v>0</v>
      </c>
      <c r="W597" s="95">
        <v>22</v>
      </c>
    </row>
    <row r="598" spans="1:29">
      <c r="A598" s="95">
        <v>23</v>
      </c>
      <c r="B598" s="95">
        <f>IF(Doubles!H113="",0,Doubles!H113)</f>
        <v>0</v>
      </c>
      <c r="C598" s="99" t="str">
        <f>IF(OR(LEFT(B598,LEN(B$24))=B$24,LEFT(B598,LEN(C$24))=C$24,LEN(B598)&lt;2),"",IF(B598="no pick","","Wrong pick"))</f>
        <v/>
      </c>
      <c r="E598" s="95">
        <f t="shared" si="220"/>
        <v>0</v>
      </c>
      <c r="G598" s="95" t="str">
        <f>IF(B598=0,"",IF(B598="no pick","No Pick",IF(LEFT(B598,LEN(B$24))=B$24,B$24,C$24)))</f>
        <v/>
      </c>
      <c r="H598" s="95" t="str">
        <f t="shared" si="221"/>
        <v>0-0</v>
      </c>
      <c r="J598" s="95">
        <f>D$24</f>
        <v>0</v>
      </c>
      <c r="K598" s="95" t="str">
        <f t="shared" si="222"/>
        <v>SR</v>
      </c>
      <c r="L598" s="95" t="str">
        <f t="shared" si="223"/>
        <v>0</v>
      </c>
      <c r="M598" s="95" t="str">
        <f t="shared" si="224"/>
        <v>0</v>
      </c>
      <c r="N598" s="95" t="str">
        <f t="shared" si="225"/>
        <v>0</v>
      </c>
      <c r="O598" s="95" t="str">
        <f t="shared" si="226"/>
        <v>0</v>
      </c>
      <c r="P598" s="95" t="str">
        <f t="shared" si="227"/>
        <v>0</v>
      </c>
      <c r="Q598" s="95">
        <f>IF(AND(G598=T$24,LEN(G598)&gt;1),1,0)</f>
        <v>0</v>
      </c>
      <c r="R598" s="97">
        <f>Doubles!G$24</f>
        <v>23</v>
      </c>
      <c r="S598" s="95">
        <f>IF(AND(H598=H$24,LEN(H598)&gt;1,Q598=1),1,0)</f>
        <v>0</v>
      </c>
      <c r="V598" s="97">
        <f>VLOOKUP(23,R576:S599,2,0)</f>
        <v>0</v>
      </c>
      <c r="W598" s="95">
        <v>23</v>
      </c>
    </row>
    <row r="599" spans="1:29">
      <c r="A599" s="95">
        <v>24</v>
      </c>
      <c r="B599" s="95">
        <f>IF(Doubles!H114="",0,Doubles!H114)</f>
        <v>0</v>
      </c>
      <c r="C599" s="99" t="str">
        <f>IF(OR(LEFT(B599,LEN(B$25))=B$25,LEFT(B599,LEN(C$25))=C$25,LEN(B599)&lt;2),"",IF(B599="no pick","","Wrong pick"))</f>
        <v/>
      </c>
      <c r="E599" s="95">
        <f t="shared" si="220"/>
        <v>0</v>
      </c>
      <c r="G599" s="95" t="str">
        <f>IF(B599=0,"",IF(B599="no pick","No Pick",IF(LEFT(B599,LEN(B$25))=B$25,B$25,C$25)))</f>
        <v/>
      </c>
      <c r="H599" s="95" t="str">
        <f t="shared" si="221"/>
        <v>0-0</v>
      </c>
      <c r="J599" s="95">
        <f>D$25</f>
        <v>0</v>
      </c>
      <c r="K599" s="95" t="str">
        <f t="shared" si="222"/>
        <v>SR</v>
      </c>
      <c r="L599" s="95" t="str">
        <f t="shared" si="223"/>
        <v>0</v>
      </c>
      <c r="M599" s="95" t="str">
        <f t="shared" si="224"/>
        <v>0</v>
      </c>
      <c r="N599" s="95" t="str">
        <f t="shared" si="225"/>
        <v>0</v>
      </c>
      <c r="O599" s="95" t="str">
        <f t="shared" si="226"/>
        <v>0</v>
      </c>
      <c r="P599" s="95" t="str">
        <f t="shared" si="227"/>
        <v>0</v>
      </c>
      <c r="Q599" s="95">
        <f>IF(AND(G599=T$25,LEN(G599)&gt;1),1,0)</f>
        <v>0</v>
      </c>
      <c r="R599" s="97">
        <f>Doubles!G$25</f>
        <v>24</v>
      </c>
      <c r="S599" s="95">
        <f>IF(AND(H599=H$25,LEN(H599)&gt;1,Q599=1),1,0)</f>
        <v>0</v>
      </c>
      <c r="V599" s="97">
        <f>VLOOKUP(24,R576:S599,2,0)</f>
        <v>0</v>
      </c>
      <c r="W599" s="95">
        <v>24</v>
      </c>
    </row>
    <row r="600" spans="1:29">
      <c r="L600" s="98" t="s">
        <v>120</v>
      </c>
      <c r="W600" s="95">
        <v>25</v>
      </c>
    </row>
    <row r="601" spans="1:29">
      <c r="A601" s="95" t="e">
        <f>IF(LEN(VLOOKUP(B601,Doubles!$B$2:$D$17,3,0))&gt;0,VLOOKUP(B601,Doubles!$B$2:$D$17,3,0),"")</f>
        <v>#N/A</v>
      </c>
      <c r="B601" s="96">
        <f>Doubles!G90</f>
        <v>0</v>
      </c>
      <c r="C601" s="96">
        <v>3</v>
      </c>
      <c r="D601" s="95" t="e">
        <f>VLOOKUP(B601,Doubles!$B$2:$F$17,5,0)</f>
        <v>#N/A</v>
      </c>
      <c r="J601" s="95" t="s">
        <v>88</v>
      </c>
      <c r="Q601" s="95" t="s">
        <v>121</v>
      </c>
      <c r="S601" s="95" t="s">
        <v>122</v>
      </c>
      <c r="T601" s="95">
        <f>B601</f>
        <v>0</v>
      </c>
      <c r="V601" s="95" t="s">
        <v>122</v>
      </c>
    </row>
    <row r="602" spans="1:29">
      <c r="A602" s="95">
        <v>1</v>
      </c>
      <c r="B602" s="95">
        <f ca="1">IF(Doubles!G91="",0,Doubles!G91)</f>
        <v>0</v>
      </c>
      <c r="C602" s="99" t="str">
        <f ca="1">IF(OR(LEFT(B602,LEN(B$2))=B$2,LEFT(B602,LEN(C$2))=C$2,LEN(B602)&lt;2),"",IF(B602="no pick","","Wrong pick"))</f>
        <v/>
      </c>
      <c r="D602" s="95">
        <f t="shared" ref="D602:D625" ca="1" si="228">IF(G602=G628,0,1)</f>
        <v>0</v>
      </c>
      <c r="E602" s="95">
        <f t="shared" ref="E602:E625" ca="1" si="229">IF(AND($I$2=J602,B602=0),1,0)</f>
        <v>1</v>
      </c>
      <c r="F602" s="95" t="str">
        <f ca="1">IF(AND(SUM(E602:E625)=$I$4,NOT(B601="Bye")),"Missing picks from "&amp;B601&amp;" ","")</f>
        <v xml:space="preserve">Missing picks from 0 </v>
      </c>
      <c r="G602" s="95" t="str">
        <f ca="1">IF(B602=0,"",IF(B602="no pick","No Pick",IF(LEFT(B602,LEN(B$2))=B$2,B$2,C$2)))</f>
        <v/>
      </c>
      <c r="H602" s="95" t="str">
        <f t="shared" ref="H602:H625" ca="1" si="230">IF(L602="","",IF(K602="PTS",IF(LEN(O602)&lt;8,"2-0","2-1"),LEFT(O602,1)&amp;"-"&amp;RIGHT(O602,1)))</f>
        <v>0-0</v>
      </c>
      <c r="I602" s="95" t="str">
        <f>IF(AND(J602=$I$2,F$2=0,NOT(E$2="")),IF(OR(AND(Y602=AA602,Z602=AB602),AND(Y602=AB602,Z602=AA602)),"",IF(AND(Y602=Z602,AA602=AB602),Y602&amp;" +2 v. "&amp;AA602&amp;" +2, ",IF(Y602=AA602,Z602&amp;" v. "&amp;AB602&amp;", ",IF(Z602=AB602,Y602&amp;" v. "&amp;AA602&amp;", ",IF(Y602=AB602,Z602&amp;" v. "&amp;AA602&amp;", ",IF(Z602=AA602,Y602&amp;" v. "&amp;AB602&amp;", ",Y602&amp;" v. "&amp;AA602&amp;", "&amp;Z602&amp;" v. "&amp;AB602&amp;", ")))))),"")</f>
        <v/>
      </c>
      <c r="J602" s="97">
        <f>D$2</f>
        <v>1</v>
      </c>
      <c r="K602" s="95" t="str">
        <f t="shared" ref="K602:K625" ca="1" si="231">IF(LEN(L602)&gt;0,IF(LEN(O602)&lt;4,"SR","PTS"),"")</f>
        <v>SR</v>
      </c>
      <c r="L602" s="95" t="str">
        <f t="shared" ref="L602:L625" ca="1" si="232">TRIM(RIGHT(B602,LEN(B602)-LEN(G602)))</f>
        <v>0</v>
      </c>
      <c r="M602" s="95" t="str">
        <f t="shared" ref="M602:M625" ca="1" si="233">SUBSTITUTE(L602,"-","")</f>
        <v>0</v>
      </c>
      <c r="N602" s="95" t="str">
        <f t="shared" ref="N602:N625" ca="1" si="234">SUBSTITUTE(M602,","," ")</f>
        <v>0</v>
      </c>
      <c r="O602" s="95" t="str">
        <f t="shared" ref="O602:O625" ca="1" si="235">IF(AND(LEN(TRIM(SUBSTITUTE(P602,"/","")))&gt;6,OR(LEFT(TRIM(SUBSTITUTE(P602,"/","")),2)="20",LEFT(TRIM(SUBSTITUTE(P602,"/","")),2)="21")),RIGHT(TRIM(SUBSTITUTE(P602,"/","")),LEN(TRIM(SUBSTITUTE(P602,"/","")))-3),TRIM(SUBSTITUTE(P602,"/","")))</f>
        <v>0</v>
      </c>
      <c r="P602" s="95" t="str">
        <f t="shared" ref="P602:P625" ca="1" si="236">SUBSTITUTE(N602,":","")</f>
        <v>0</v>
      </c>
      <c r="Q602" s="95">
        <f ca="1">IF(AND(G602=T$2,LEN(G602)&gt;1),1,0)</f>
        <v>0</v>
      </c>
      <c r="R602" s="97">
        <f>Doubles!G$2</f>
        <v>1</v>
      </c>
      <c r="S602" s="95">
        <f ca="1">IF(AND(H602=H$2,LEN(H602)&gt;1,Q602=1),1,0)</f>
        <v>0</v>
      </c>
      <c r="T602" s="95" t="str">
        <f>" SR Differences: "&amp;IF(LEN(I602&amp;I603&amp;I604&amp;I605&amp;I606&amp;I607&amp;I608&amp;I609&amp;I610&amp;I611&amp;I612&amp;I613&amp;I614&amp;I615&amp;I616&amp;I617)&lt;3,"None..",I602&amp;I603&amp;I604&amp;I605&amp;I606&amp;I607&amp;I608&amp;I609&amp;I610&amp;I611&amp;I612&amp;I613&amp;I614&amp;I615&amp;I616&amp;I617)</f>
        <v xml:space="preserve"> SR Differences: None..</v>
      </c>
      <c r="V602" s="97">
        <f ca="1">VLOOKUP(1,R602:S625,2,0)</f>
        <v>0</v>
      </c>
      <c r="W602" s="95" t="str">
        <f t="shared" ref="W602:W625" ca="1" si="237">IF(J550=$I$2,IF(OR(G550&amp;G602=G576&amp;G628,G550&amp;G602=G628&amp;G576),"",IF(G576=G628,G576,IF(OR(G550=G576,G576=G602),G628,IF(OR(G628=G550,G602=G628),G576,G576&amp;", "&amp;G628)))),"")</f>
        <v/>
      </c>
      <c r="X602" s="95">
        <f ca="1">IF(F$2=0,IF(AND(G576=G628,NOT(G550=G576),NOT(G602=G628),LEN(W550)&gt;0),2,IF(LEN(W550)=0,0,1)),0)</f>
        <v>0</v>
      </c>
      <c r="AC602" s="95" t="str">
        <f ca="1">IF(AND(LEN(W602)&gt;0,F$2=0),IF(X602=2,W602&amp;" +2, ",W602&amp;", "),"")</f>
        <v/>
      </c>
    </row>
    <row r="603" spans="1:29">
      <c r="A603" s="95">
        <v>2</v>
      </c>
      <c r="B603" s="95">
        <f ca="1">IF(Doubles!G92="",0,Doubles!G92)</f>
        <v>0</v>
      </c>
      <c r="C603" s="99" t="str">
        <f ca="1">IF(OR(LEFT(B603,LEN(B$3))=B$3,LEFT(B603,LEN(C$3))=C$3,LEN(B603)&lt;2),"",IF(B603="no pick","","Wrong pick"))</f>
        <v/>
      </c>
      <c r="D603" s="95">
        <f t="shared" ca="1" si="228"/>
        <v>0</v>
      </c>
      <c r="E603" s="95">
        <f t="shared" ca="1" si="229"/>
        <v>1</v>
      </c>
      <c r="G603" s="95" t="str">
        <f ca="1">IF(B603=0,"",IF(B603="no pick","No Pick",IF(LEFT(B603,LEN(B$3))=B$3,B$3,C$3)))</f>
        <v/>
      </c>
      <c r="H603" s="95" t="str">
        <f t="shared" ca="1" si="230"/>
        <v>0-0</v>
      </c>
      <c r="I603" s="95" t="str">
        <f>IF(AND(J603=$I$2,F$3=0,NOT(E$3="")),IF(OR(AND(Y603=AA603,Z603=AB603),AND(Y603=AB603,Z603=AA603)),"",IF(AND(Y603=Z603,AA603=AB603),Y603&amp;" +2 v. "&amp;AA603&amp;" +2, ",IF(Y603=AA603,Z603&amp;" v. "&amp;AB603&amp;", ",IF(Z603=AB603,Y603&amp;" v. "&amp;AA603&amp;", ",IF(Y603=AB603,Z603&amp;" v. "&amp;AA603&amp;", ",IF(Z603=AA603,Y603&amp;" v. "&amp;AB603&amp;", ",Y603&amp;" v. "&amp;AA603&amp;", "&amp;Z603&amp;" v. "&amp;AB603&amp;", ")))))),"")</f>
        <v/>
      </c>
      <c r="J603" s="97">
        <f>D$3</f>
        <v>1</v>
      </c>
      <c r="K603" s="95" t="str">
        <f t="shared" ca="1" si="231"/>
        <v>SR</v>
      </c>
      <c r="L603" s="95" t="str">
        <f t="shared" ca="1" si="232"/>
        <v>0</v>
      </c>
      <c r="M603" s="95" t="str">
        <f t="shared" ca="1" si="233"/>
        <v>0</v>
      </c>
      <c r="N603" s="95" t="str">
        <f t="shared" ca="1" si="234"/>
        <v>0</v>
      </c>
      <c r="O603" s="95" t="str">
        <f t="shared" ca="1" si="235"/>
        <v>0</v>
      </c>
      <c r="P603" s="95" t="str">
        <f t="shared" ca="1" si="236"/>
        <v>0</v>
      </c>
      <c r="Q603" s="95">
        <f ca="1">IF(AND(G603=T$3,LEN(G603)&gt;1),1,0)</f>
        <v>0</v>
      </c>
      <c r="R603" s="97">
        <f>Doubles!G$3</f>
        <v>2</v>
      </c>
      <c r="S603" s="95">
        <f ca="1">IF(AND(H603=H$3,LEN(H603)&gt;1,Q603=1),1,0)</f>
        <v>0</v>
      </c>
      <c r="T603" s="95" t="str">
        <f ca="1">IF(T604&gt;0,LEFT(E602,LEN(E602)-2)&amp;" vs. "&amp;LEFT(E628,LEN(E628)-2),"Same winners;")</f>
        <v>Same winners;</v>
      </c>
      <c r="V603" s="97">
        <f ca="1">VLOOKUP(2,R602:S625,2,0)</f>
        <v>0</v>
      </c>
      <c r="W603" s="95" t="str">
        <f t="shared" ca="1" si="237"/>
        <v/>
      </c>
      <c r="X603" s="95">
        <f ca="1">IF(F$3=0,IF(AND(G577=G629,NOT(G551=G577),NOT(G603=G629),LEN(W551)&gt;0),2,IF(LEN(W551)=0,0,1)),0)</f>
        <v>0</v>
      </c>
      <c r="AC603" s="95" t="str">
        <f ca="1">IF(AND(LEN(W603)&gt;0,F$3=0),IF(X603=2,W603&amp;" +2, ",W603&amp;", "),"")</f>
        <v/>
      </c>
    </row>
    <row r="604" spans="1:29">
      <c r="A604" s="95">
        <v>3</v>
      </c>
      <c r="B604" s="95">
        <f ca="1">IF(Doubles!G93="",0,Doubles!G93)</f>
        <v>0</v>
      </c>
      <c r="C604" s="99" t="str">
        <f ca="1">IF(OR(LEFT(B604,LEN(B$4))=B$4,LEFT(B604,LEN(C$4))=C$4,LEN(B604)&lt;2),"",IF(B604="no pick","","Wrong pick"))</f>
        <v/>
      </c>
      <c r="D604" s="95">
        <f t="shared" ca="1" si="228"/>
        <v>0</v>
      </c>
      <c r="E604" s="95">
        <f t="shared" ca="1" si="229"/>
        <v>1</v>
      </c>
      <c r="G604" s="95" t="str">
        <f ca="1">IF(B604=0,"",IF(B604="no pick","No Pick",IF(LEFT(B604,LEN(B$4))=B$4,B$4,C$4)))</f>
        <v/>
      </c>
      <c r="H604" s="95" t="str">
        <f t="shared" ca="1" si="230"/>
        <v>0-0</v>
      </c>
      <c r="I604" s="95" t="str">
        <f>IF(AND(J604=$I$2,F$4=0,NOT(E$4="")),IF(OR(AND(Y604=AA604,Z604=AB604),AND(Y604=AB604,Z604=AA604)),"",IF(AND(Y604=Z604,AA604=AB604),Y604&amp;" +2 v. "&amp;AA604&amp;" +2, ",IF(Y604=AA604,Z604&amp;" v. "&amp;AB604&amp;", ",IF(Z604=AB604,Y604&amp;" v. "&amp;AA604&amp;", ",IF(Y604=AB604,Z604&amp;" v. "&amp;AA604&amp;", ",IF(Z604=AA604,Y604&amp;" v. "&amp;AB604&amp;", ",Y604&amp;" v. "&amp;AA604&amp;", "&amp;Z604&amp;" v. "&amp;AB604&amp;", ")))))),"")</f>
        <v/>
      </c>
      <c r="J604" s="97">
        <f>D$4</f>
        <v>1</v>
      </c>
      <c r="K604" s="95" t="str">
        <f t="shared" ca="1" si="231"/>
        <v>SR</v>
      </c>
      <c r="L604" s="95" t="str">
        <f t="shared" ca="1" si="232"/>
        <v>0</v>
      </c>
      <c r="M604" s="95" t="str">
        <f t="shared" ca="1" si="233"/>
        <v>0</v>
      </c>
      <c r="N604" s="95" t="str">
        <f t="shared" ca="1" si="234"/>
        <v>0</v>
      </c>
      <c r="O604" s="95" t="str">
        <f t="shared" ca="1" si="235"/>
        <v>0</v>
      </c>
      <c r="P604" s="95" t="str">
        <f t="shared" ca="1" si="236"/>
        <v>0</v>
      </c>
      <c r="Q604" s="95">
        <f ca="1">IF(AND(G604=T$4,LEN(G604)&gt;1),1,0)</f>
        <v>0</v>
      </c>
      <c r="R604" s="97">
        <f>Doubles!G$4</f>
        <v>3</v>
      </c>
      <c r="S604" s="95">
        <f ca="1">IF(AND(H604=H$4,LEN(H604)&gt;1,Q604=1),1,0)</f>
        <v>0</v>
      </c>
      <c r="T604" s="101">
        <f ca="1">SUMIF(J602:J617,$I$2,D602:D617)</f>
        <v>0</v>
      </c>
      <c r="V604" s="97">
        <f ca="1">VLOOKUP(3,R602:S625,2,0)</f>
        <v>0</v>
      </c>
      <c r="W604" s="95" t="str">
        <f t="shared" ca="1" si="237"/>
        <v/>
      </c>
      <c r="X604" s="95">
        <f ca="1">IF(F$4=0,IF(AND(G578=G630,NOT(G552=G578),NOT(G604=G630),LEN(W552)&gt;0),2,IF(LEN(W552)=0,0,1)),0)</f>
        <v>0</v>
      </c>
      <c r="AC604" s="95" t="str">
        <f ca="1">IF(AND(LEN(W604)&gt;0,F$4=0),IF(X604=2,W604&amp;" +2, ",W604&amp;", "),"")</f>
        <v/>
      </c>
    </row>
    <row r="605" spans="1:29">
      <c r="A605" s="95">
        <v>4</v>
      </c>
      <c r="B605" s="95">
        <f ca="1">IF(Doubles!G94="",0,Doubles!G94)</f>
        <v>0</v>
      </c>
      <c r="C605" s="99" t="str">
        <f ca="1">IF(OR(LEFT(B605,LEN(B$5))=B$5,LEFT(B605,LEN(C$5))=C$5,LEN(B605)&lt;2),"",IF(B605="no pick","","Wrong pick"))</f>
        <v/>
      </c>
      <c r="D605" s="95">
        <f t="shared" ca="1" si="228"/>
        <v>0</v>
      </c>
      <c r="E605" s="95">
        <f t="shared" ca="1" si="229"/>
        <v>1</v>
      </c>
      <c r="G605" s="95" t="str">
        <f ca="1">IF(B605=0,"",IF(B605="no pick","No Pick",IF(LEFT(B605,LEN(B$5))=B$5,B$5,C$5)))</f>
        <v/>
      </c>
      <c r="H605" s="95" t="str">
        <f t="shared" ca="1" si="230"/>
        <v>0-0</v>
      </c>
      <c r="I605" s="95" t="str">
        <f>IF(AND(J605=$I$2,F$5=0,NOT(E$5="")),IF(OR(AND(Y605=AA605,Z605=AB605),AND(Y605=AB605,Z605=AA605)),"",IF(AND(Y605=Z605,AA605=AB605),Y605&amp;" +2 v. "&amp;AA605&amp;" +2, ",IF(Y605=AA605,Z605&amp;" v. "&amp;AB605&amp;", ",IF(Z605=AB605,Y605&amp;" v. "&amp;AA605&amp;", ",IF(Y605=AB605,Z605&amp;" v. "&amp;AA605&amp;", ",IF(Z605=AA605,Y605&amp;" v. "&amp;AB605&amp;", ",Y605&amp;" v. "&amp;AA605&amp;", "&amp;Z605&amp;" v. "&amp;AB605&amp;", ")))))),"")</f>
        <v/>
      </c>
      <c r="J605" s="97">
        <f>D$5</f>
        <v>1</v>
      </c>
      <c r="K605" s="95" t="str">
        <f t="shared" ca="1" si="231"/>
        <v>SR</v>
      </c>
      <c r="L605" s="95" t="str">
        <f t="shared" ca="1" si="232"/>
        <v>0</v>
      </c>
      <c r="M605" s="95" t="str">
        <f t="shared" ca="1" si="233"/>
        <v>0</v>
      </c>
      <c r="N605" s="95" t="str">
        <f t="shared" ca="1" si="234"/>
        <v>0</v>
      </c>
      <c r="O605" s="95" t="str">
        <f t="shared" ca="1" si="235"/>
        <v>0</v>
      </c>
      <c r="P605" s="95" t="str">
        <f t="shared" ca="1" si="236"/>
        <v>0</v>
      </c>
      <c r="Q605" s="95">
        <f ca="1">IF(AND(G605=T$5,LEN(G605)&gt;1),1,0)</f>
        <v>0</v>
      </c>
      <c r="R605" s="97">
        <f>Doubles!G$5</f>
        <v>4</v>
      </c>
      <c r="S605" s="95">
        <f ca="1">IF(AND(H605=H$5,LEN(H605)&gt;1,Q605=1),1,0)</f>
        <v>0</v>
      </c>
      <c r="U605" s="95" t="str">
        <f ca="1">AC550&amp;AC551&amp;AC552&amp;AC553&amp;AC554&amp;AC555&amp;AC556&amp;AC557&amp;AC558&amp;AC559&amp;AC560&amp;AC561&amp;AC562&amp;AC563&amp;AC564&amp;AC565&amp;AC566&amp;AC567&amp;AC568&amp;AC569&amp;AC570&amp;AC571&amp;AC572&amp;AC573</f>
        <v/>
      </c>
      <c r="V605" s="97">
        <f ca="1">VLOOKUP(4,R602:S625,2,0)</f>
        <v>0</v>
      </c>
      <c r="W605" s="95" t="str">
        <f t="shared" ca="1" si="237"/>
        <v/>
      </c>
      <c r="X605" s="95">
        <f ca="1">IF(F$5=0,IF(AND(G579=G631,NOT(G553=G579),NOT(G605=G631),LEN(W553)&gt;0),2,IF(LEN(W553)=0,0,1)),0)</f>
        <v>0</v>
      </c>
      <c r="AC605" s="95" t="str">
        <f ca="1">IF(AND(LEN(W605)&gt;0,F$5=0),IF(X605=2,W605&amp;" +2, ",W605&amp;", "),"")</f>
        <v/>
      </c>
    </row>
    <row r="606" spans="1:29">
      <c r="A606" s="95">
        <v>5</v>
      </c>
      <c r="B606" s="95">
        <f ca="1">IF(Doubles!G95="",0,Doubles!G95)</f>
        <v>0</v>
      </c>
      <c r="C606" s="99" t="str">
        <f ca="1">IF(OR(LEFT(B606,LEN(B$6))=B$6,LEFT(B606,LEN(C$6))=C$6,LEN(B606)&lt;2),"",IF(B606="no pick","","Wrong pick"))</f>
        <v/>
      </c>
      <c r="D606" s="95">
        <f t="shared" ca="1" si="228"/>
        <v>0</v>
      </c>
      <c r="E606" s="95">
        <f t="shared" ca="1" si="229"/>
        <v>1</v>
      </c>
      <c r="G606" s="95" t="str">
        <f ca="1">IF(B606=0,"",IF(B606="no pick","No Pick",IF(LEFT(B606,LEN(B$6))=B$6,B$6,C$6)))</f>
        <v/>
      </c>
      <c r="H606" s="95" t="str">
        <f t="shared" ca="1" si="230"/>
        <v>0-0</v>
      </c>
      <c r="I606" s="95" t="str">
        <f>IF(AND(J606=$I$2,F$6=0,NOT(E$6="")),IF(OR(AND(Y606=AA606,Z606=AB606),AND(Y606=AB606,Z606=AA606)),"",IF(AND(Y606=Z606,AA606=AB606),Y606&amp;" +2 v. "&amp;AA606&amp;" +2, ",IF(Y606=AA606,Z606&amp;" v. "&amp;AB606&amp;", ",IF(Z606=AB606,Y606&amp;" v. "&amp;AA606&amp;", ",IF(Y606=AB606,Z606&amp;" v. "&amp;AA606&amp;", ",IF(Z606=AA606,Y606&amp;" v. "&amp;AB606&amp;", ",Y606&amp;" v. "&amp;AA606&amp;", "&amp;Z606&amp;" v. "&amp;AB606&amp;", ")))))),"")</f>
        <v/>
      </c>
      <c r="J606" s="97">
        <f>D$6</f>
        <v>1</v>
      </c>
      <c r="K606" s="95" t="str">
        <f t="shared" ca="1" si="231"/>
        <v>SR</v>
      </c>
      <c r="L606" s="95" t="str">
        <f t="shared" ca="1" si="232"/>
        <v>0</v>
      </c>
      <c r="M606" s="95" t="str">
        <f t="shared" ca="1" si="233"/>
        <v>0</v>
      </c>
      <c r="N606" s="95" t="str">
        <f t="shared" ca="1" si="234"/>
        <v>0</v>
      </c>
      <c r="O606" s="95" t="str">
        <f t="shared" ca="1" si="235"/>
        <v>0</v>
      </c>
      <c r="P606" s="95" t="str">
        <f t="shared" ca="1" si="236"/>
        <v>0</v>
      </c>
      <c r="Q606" s="95">
        <f ca="1">IF(AND(G606=T$6,LEN(G606)&gt;1),1,0)</f>
        <v>0</v>
      </c>
      <c r="R606" s="97">
        <f>Doubles!G$6</f>
        <v>5</v>
      </c>
      <c r="S606" s="95">
        <f ca="1">IF(AND(H606=H$6,LEN(H606)&gt;1,Q606=1),1,0)</f>
        <v>0</v>
      </c>
      <c r="U606" s="95" t="str">
        <f ca="1">AC602&amp;AC603&amp;AC604&amp;AC605&amp;AC606&amp;AC607&amp;AC608&amp;AC609&amp;AC610&amp;AC611&amp;AC612&amp;AC613&amp;AC614&amp;AC615&amp;AC616&amp;AC617&amp;AC618&amp;AC619&amp;AC620&amp;AC621&amp;AC622&amp;AC623&amp;AC624&amp;AC625</f>
        <v/>
      </c>
      <c r="V606" s="97">
        <f ca="1">VLOOKUP(5,R602:S625,2,0)</f>
        <v>0</v>
      </c>
      <c r="W606" s="95" t="str">
        <f t="shared" ca="1" si="237"/>
        <v/>
      </c>
      <c r="X606" s="95">
        <f ca="1">IF(F$6=0,IF(AND(G580=G632,NOT(G554=G580),NOT(G606=G632),LEN(W554)&gt;0),2,IF(LEN(W554)=0,0,1)),0)</f>
        <v>0</v>
      </c>
      <c r="AC606" s="95" t="str">
        <f ca="1">IF(AND(LEN(W606)&gt;0,F$6=0),IF(X606=2,W606&amp;" +2, ",W606&amp;", "),"")</f>
        <v/>
      </c>
    </row>
    <row r="607" spans="1:29">
      <c r="A607" s="95">
        <v>6</v>
      </c>
      <c r="B607" s="95">
        <f ca="1">IF(Doubles!G96="",0,Doubles!G96)</f>
        <v>0</v>
      </c>
      <c r="C607" s="99" t="str">
        <f ca="1">IF(OR(LEFT(B607,LEN(B$7))=B$7,LEFT(B607,LEN(C$7))=C$7,LEN(B607)&lt;2),"",IF(B607="no pick","","Wrong pick"))</f>
        <v/>
      </c>
      <c r="D607" s="95">
        <f t="shared" ca="1" si="228"/>
        <v>0</v>
      </c>
      <c r="E607" s="95">
        <f t="shared" ca="1" si="229"/>
        <v>1</v>
      </c>
      <c r="G607" s="95" t="str">
        <f ca="1">IF(B607=0,"",IF(B607="no pick","No Pick",IF(LEFT(B607,LEN(B$7))=B$7,B$7,C$7)))</f>
        <v/>
      </c>
      <c r="H607" s="95" t="str">
        <f t="shared" ca="1" si="230"/>
        <v>0-0</v>
      </c>
      <c r="I607" s="95" t="str">
        <f>IF(AND(J607=$I$2,F$7=0,NOT(E$7="")),IF(OR(AND(Y607=AA607,Z607=AB607),AND(Y607=AB607,Z607=AA607)),"",IF(AND(Y607=Z607,AA607=AB607),Y607&amp;" +2 v. "&amp;AA607&amp;" +2, ",IF(Y607=AA607,Z607&amp;" v. "&amp;AB607&amp;", ",IF(Z607=AB607,Y607&amp;" v. "&amp;AA607&amp;", ",IF(Y607=AB607,Z607&amp;" v. "&amp;AA607&amp;", ",IF(Z607=AA607,Y607&amp;" v. "&amp;AB607&amp;", ",Y607&amp;" v. "&amp;AA607&amp;", "&amp;Z607&amp;" v. "&amp;AB607&amp;", ")))))),"")</f>
        <v/>
      </c>
      <c r="J607" s="97">
        <f>D$7</f>
        <v>1</v>
      </c>
      <c r="K607" s="95" t="str">
        <f t="shared" ca="1" si="231"/>
        <v>SR</v>
      </c>
      <c r="L607" s="95" t="str">
        <f t="shared" ca="1" si="232"/>
        <v>0</v>
      </c>
      <c r="M607" s="95" t="str">
        <f t="shared" ca="1" si="233"/>
        <v>0</v>
      </c>
      <c r="N607" s="95" t="str">
        <f t="shared" ca="1" si="234"/>
        <v>0</v>
      </c>
      <c r="O607" s="95" t="str">
        <f t="shared" ca="1" si="235"/>
        <v>0</v>
      </c>
      <c r="P607" s="95" t="str">
        <f t="shared" ca="1" si="236"/>
        <v>0</v>
      </c>
      <c r="Q607" s="95">
        <f ca="1">IF(AND(G607=T$7,LEN(G607)&gt;1),1,0)</f>
        <v>0</v>
      </c>
      <c r="R607" s="97">
        <f>Doubles!G$7</f>
        <v>6</v>
      </c>
      <c r="S607" s="95">
        <f ca="1">IF(AND(H607=H$7,LEN(H607)&gt;1,Q607=1),1,0)</f>
        <v>0</v>
      </c>
      <c r="T607" s="105">
        <f ca="1">SUM(Q602:Q625)</f>
        <v>0</v>
      </c>
      <c r="U607" s="97">
        <f ca="1">SUM(S602:S625)</f>
        <v>0</v>
      </c>
      <c r="V607" s="97">
        <f ca="1">VLOOKUP(6,R602:S625,2,0)</f>
        <v>0</v>
      </c>
      <c r="W607" s="95" t="str">
        <f t="shared" ca="1" si="237"/>
        <v/>
      </c>
      <c r="X607" s="95">
        <f ca="1">IF(F$7=0,IF(AND(G581=G633,NOT(G555=G581),NOT(G607=G633),LEN(W555)&gt;0),2,IF(LEN(W555)=0,0,1)),0)</f>
        <v>0</v>
      </c>
      <c r="AC607" s="95" t="str">
        <f ca="1">IF(AND(LEN(W607)&gt;0,F$7=0),IF(X607=2,W607&amp;" +2, ",W607&amp;", "),"")</f>
        <v/>
      </c>
    </row>
    <row r="608" spans="1:29">
      <c r="A608" s="95">
        <v>7</v>
      </c>
      <c r="B608" s="95">
        <f ca="1">IF(Doubles!G97="",0,Doubles!G97)</f>
        <v>0</v>
      </c>
      <c r="C608" s="99" t="str">
        <f ca="1">IF(OR(LEFT(B608,LEN(B$8))=B$8,LEFT(B608,LEN(C$8))=C$8,LEN(B608)&lt;2),"",IF(B608="no pick","","Wrong pick"))</f>
        <v/>
      </c>
      <c r="D608" s="95">
        <f t="shared" ca="1" si="228"/>
        <v>0</v>
      </c>
      <c r="E608" s="95">
        <f t="shared" ca="1" si="229"/>
        <v>1</v>
      </c>
      <c r="G608" s="95" t="str">
        <f ca="1">IF(B608=0,"",IF(B608="no pick","No Pick",IF(LEFT(B608,LEN(B$8))=B$8,B$8,C$8)))</f>
        <v/>
      </c>
      <c r="H608" s="95" t="str">
        <f t="shared" ca="1" si="230"/>
        <v>0-0</v>
      </c>
      <c r="I608" s="95" t="str">
        <f>IF(AND(J608=$I$2,F$8=0,NOT(E$8="")),IF(OR(AND(Y608=AA608,Z608=AB608),AND(Y608=AB608,Z608=AA608)),"",IF(AND(Y608=Z608,AA608=AB608),Y608&amp;" +2 v. "&amp;AA608&amp;" +2, ",IF(Y608=AA608,Z608&amp;" v. "&amp;AB608&amp;", ",IF(Z608=AB608,Y608&amp;" v. "&amp;AA608&amp;", ",IF(Y608=AB608,Z608&amp;" v. "&amp;AA608&amp;", ",IF(Z608=AA608,Y608&amp;" v. "&amp;AB608&amp;", ",Y608&amp;" v. "&amp;AA608&amp;", "&amp;Z608&amp;" v. "&amp;AB608&amp;", ")))))),"")</f>
        <v/>
      </c>
      <c r="J608" s="97">
        <f>D$8</f>
        <v>1</v>
      </c>
      <c r="K608" s="95" t="str">
        <f t="shared" ca="1" si="231"/>
        <v>SR</v>
      </c>
      <c r="L608" s="95" t="str">
        <f t="shared" ca="1" si="232"/>
        <v>0</v>
      </c>
      <c r="M608" s="95" t="str">
        <f t="shared" ca="1" si="233"/>
        <v>0</v>
      </c>
      <c r="N608" s="95" t="str">
        <f t="shared" ca="1" si="234"/>
        <v>0</v>
      </c>
      <c r="O608" s="95" t="str">
        <f t="shared" ca="1" si="235"/>
        <v>0</v>
      </c>
      <c r="P608" s="95" t="str">
        <f t="shared" ca="1" si="236"/>
        <v>0</v>
      </c>
      <c r="Q608" s="95">
        <f ca="1">IF(AND(G608=T$8,LEN(G608)&gt;1),1,0)</f>
        <v>0</v>
      </c>
      <c r="R608" s="97">
        <f>Doubles!G$8</f>
        <v>7</v>
      </c>
      <c r="S608" s="95">
        <f ca="1">IF(AND(H608=H$8,LEN(H608)&gt;1,Q608=1),1,0)</f>
        <v>0</v>
      </c>
      <c r="T608" s="105">
        <f ca="1">SUM(Q628:Q651)</f>
        <v>0</v>
      </c>
      <c r="U608" s="97">
        <f ca="1">SUM(S628:S651)</f>
        <v>0</v>
      </c>
      <c r="V608" s="97">
        <f ca="1">VLOOKUP(7,R602:S625,2,0)</f>
        <v>0</v>
      </c>
      <c r="W608" s="95" t="str">
        <f t="shared" ca="1" si="237"/>
        <v/>
      </c>
      <c r="X608" s="95">
        <f ca="1">IF(F$8=0,IF(AND(G582=G634,NOT(G556=G582),NOT(G608=G634),LEN(W556)&gt;0),2,IF(LEN(W556)=0,0,1)),0)</f>
        <v>0</v>
      </c>
      <c r="AC608" s="95" t="str">
        <f ca="1">IF(AND(LEN(W608)&gt;0,F$8=0),IF(X608=2,W608&amp;" +2, ",W608&amp;", "),"")</f>
        <v/>
      </c>
    </row>
    <row r="609" spans="1:29">
      <c r="A609" s="95">
        <v>8</v>
      </c>
      <c r="B609" s="95">
        <f ca="1">IF(Doubles!G98="",0,Doubles!G98)</f>
        <v>0</v>
      </c>
      <c r="C609" s="99" t="str">
        <f ca="1">IF(OR(LEFT(B609,LEN(B$9))=B$9,LEFT(B609,LEN(C$9))=C$9,LEN(B609)&lt;2),"",IF(B609="no pick","","Wrong pick"))</f>
        <v/>
      </c>
      <c r="D609" s="95">
        <f t="shared" ca="1" si="228"/>
        <v>0</v>
      </c>
      <c r="E609" s="95">
        <f t="shared" ca="1" si="229"/>
        <v>1</v>
      </c>
      <c r="G609" s="95" t="str">
        <f ca="1">IF(B609=0,"",IF(B609="no pick","No Pick",IF(LEFT(B609,LEN(B$9))=B$9,B$9,C$9)))</f>
        <v/>
      </c>
      <c r="H609" s="95" t="str">
        <f t="shared" ca="1" si="230"/>
        <v>0-0</v>
      </c>
      <c r="I609" s="95" t="str">
        <f>IF(AND(J609=$I$2,F$9=0,NOT(E$9="")),IF(OR(AND(Y609=AA609,Z609=AB609),AND(Y609=AB609,Z609=AA609)),"",IF(AND(Y609=Z609,AA609=AB609),Y609&amp;" +2 v. "&amp;AA609&amp;" +2, ",IF(Y609=AA609,Z609&amp;" v. "&amp;AB609&amp;", ",IF(Z609=AB609,Y609&amp;" v. "&amp;AA609&amp;", ",IF(Y609=AB609,Z609&amp;" v. "&amp;AA609&amp;", ",IF(Z609=AA609,Y609&amp;" v. "&amp;AB609&amp;", ",Y609&amp;" v. "&amp;AA609&amp;", "&amp;Z609&amp;" v. "&amp;AB609&amp;", ")))))),"")</f>
        <v/>
      </c>
      <c r="J609" s="97">
        <f>D$9</f>
        <v>1</v>
      </c>
      <c r="K609" s="95" t="str">
        <f t="shared" ca="1" si="231"/>
        <v>SR</v>
      </c>
      <c r="L609" s="95" t="str">
        <f t="shared" ca="1" si="232"/>
        <v>0</v>
      </c>
      <c r="M609" s="95" t="str">
        <f t="shared" ca="1" si="233"/>
        <v>0</v>
      </c>
      <c r="N609" s="95" t="str">
        <f t="shared" ca="1" si="234"/>
        <v>0</v>
      </c>
      <c r="O609" s="95" t="str">
        <f t="shared" ca="1" si="235"/>
        <v>0</v>
      </c>
      <c r="P609" s="95" t="str">
        <f t="shared" ca="1" si="236"/>
        <v>0</v>
      </c>
      <c r="Q609" s="95">
        <f ca="1">IF(AND(G609=T$9,LEN(G609)&gt;1),1,0)</f>
        <v>0</v>
      </c>
      <c r="R609" s="97">
        <f>Doubles!G$9</f>
        <v>8</v>
      </c>
      <c r="S609" s="95">
        <f ca="1">IF(AND(H609=H$9,LEN(H609)&gt;1,Q609=1),1,0)</f>
        <v>0</v>
      </c>
      <c r="V609" s="97">
        <f ca="1">VLOOKUP(8,R602:S625,2,0)</f>
        <v>0</v>
      </c>
      <c r="W609" s="95" t="str">
        <f t="shared" ca="1" si="237"/>
        <v/>
      </c>
      <c r="X609" s="95">
        <f ca="1">IF(F$9=0,IF(AND(G583=G635,NOT(G557=G583),NOT(G609=G635),LEN(W557)&gt;0),2,IF(LEN(W557)=0,0,1)),0)</f>
        <v>0</v>
      </c>
      <c r="AC609" s="95" t="str">
        <f ca="1">IF(AND(LEN(W609)&gt;0,F$9=0),IF(X609=2,W609&amp;" +2, ",W609&amp;", "),"")</f>
        <v/>
      </c>
    </row>
    <row r="610" spans="1:29">
      <c r="A610" s="95">
        <v>9</v>
      </c>
      <c r="B610" s="95">
        <f ca="1">IF(Doubles!G99="",0,Doubles!G99)</f>
        <v>0</v>
      </c>
      <c r="C610" s="99" t="str">
        <f ca="1">IF(OR(LEFT(B610,LEN(B$10))=B$10,LEFT(B610,LEN(C$10))=C$10,LEN(B610)&lt;2),"",IF(B610="no pick","","Wrong pick"))</f>
        <v/>
      </c>
      <c r="D610" s="95">
        <f t="shared" ca="1" si="228"/>
        <v>0</v>
      </c>
      <c r="E610" s="95">
        <f t="shared" ca="1" si="229"/>
        <v>1</v>
      </c>
      <c r="G610" s="95" t="str">
        <f ca="1">IF(B610=0,"",IF(B610="no pick","No Pick",IF(LEFT(B610,LEN(B$10))=B$10,B$10,C$10)))</f>
        <v/>
      </c>
      <c r="H610" s="95" t="str">
        <f t="shared" ca="1" si="230"/>
        <v>0-0</v>
      </c>
      <c r="I610" s="95" t="str">
        <f>IF(AND(J610=$I$2,F$10=0,NOT(E$10="")),IF(OR(AND(Y610=AA610,Z610=AB610),AND(Y610=AB610,Z610=AA610)),"",IF(AND(Y610=Z610,AA610=AB610),Y610&amp;" +2 v. "&amp;AA610&amp;" +2, ",IF(Y610=AA610,Z610&amp;" v. "&amp;AB610&amp;", ",IF(Z610=AB610,Y610&amp;" v. "&amp;AA610&amp;", ",IF(Y610=AB610,Z610&amp;" v. "&amp;AA610&amp;", ",IF(Z610=AA610,Y610&amp;" v. "&amp;AB610&amp;", ",Y610&amp;" v. "&amp;AA610&amp;", "&amp;Z610&amp;" v. "&amp;AB610&amp;", ")))))),"")</f>
        <v/>
      </c>
      <c r="J610" s="97">
        <f>D$10</f>
        <v>1</v>
      </c>
      <c r="K610" s="95" t="str">
        <f t="shared" ca="1" si="231"/>
        <v>SR</v>
      </c>
      <c r="L610" s="95" t="str">
        <f t="shared" ca="1" si="232"/>
        <v>0</v>
      </c>
      <c r="M610" s="95" t="str">
        <f t="shared" ca="1" si="233"/>
        <v>0</v>
      </c>
      <c r="N610" s="95" t="str">
        <f t="shared" ca="1" si="234"/>
        <v>0</v>
      </c>
      <c r="O610" s="95" t="str">
        <f t="shared" ca="1" si="235"/>
        <v>0</v>
      </c>
      <c r="P610" s="95" t="str">
        <f t="shared" ca="1" si="236"/>
        <v>0</v>
      </c>
      <c r="Q610" s="95">
        <f ca="1">IF(AND(G610=T$10,LEN(G610)&gt;1),1,0)</f>
        <v>0</v>
      </c>
      <c r="R610" s="97">
        <f>Doubles!G$10</f>
        <v>9</v>
      </c>
      <c r="S610" s="95">
        <f ca="1">IF(AND(H610=H$10,LEN(H610)&gt;1,Q610=1),1,0)</f>
        <v>0</v>
      </c>
      <c r="T610" s="97" t="e">
        <f>VLOOKUP("Winner",T628:U644,2,0)</f>
        <v>#N/A</v>
      </c>
      <c r="U610" s="95" t="e">
        <f>VLOOKUP(T610,U628:W644,3,0)</f>
        <v>#N/A</v>
      </c>
      <c r="V610" s="97">
        <f ca="1">VLOOKUP(9,R602:S625,2,0)</f>
        <v>0</v>
      </c>
      <c r="W610" s="95" t="str">
        <f t="shared" ca="1" si="237"/>
        <v/>
      </c>
      <c r="X610" s="95">
        <f ca="1">IF(F$10=0,IF(AND(G584=G636,NOT(G558=G584),NOT(G610=G636),LEN(W558)&gt;0),2,IF(LEN(W558)=0,0,1)),0)</f>
        <v>0</v>
      </c>
      <c r="AC610" s="95" t="str">
        <f ca="1">IF(AND(LEN(W610)&gt;0,F$10=0),IF(X610=2,W610&amp;" +2, ",W610&amp;", "),"")</f>
        <v/>
      </c>
    </row>
    <row r="611" spans="1:29">
      <c r="A611" s="95">
        <v>10</v>
      </c>
      <c r="B611" s="95">
        <f ca="1">IF(Doubles!G100="",0,Doubles!G100)</f>
        <v>0</v>
      </c>
      <c r="C611" s="99" t="str">
        <f ca="1">IF(OR(LEFT(B611,LEN(B$11))=B$11,LEFT(B611,LEN(C$11))=C$11,LEN(B611)&lt;2),"",IF(B611="no pick","","Wrong pick"))</f>
        <v/>
      </c>
      <c r="D611" s="95">
        <f t="shared" ca="1" si="228"/>
        <v>0</v>
      </c>
      <c r="E611" s="95">
        <f t="shared" ca="1" si="229"/>
        <v>1</v>
      </c>
      <c r="G611" s="95" t="str">
        <f ca="1">IF(B611=0,"",IF(B611="no pick","No Pick",IF(LEFT(B611,LEN(B$11))=B$11,B$11,C$11)))</f>
        <v/>
      </c>
      <c r="H611" s="95" t="str">
        <f t="shared" ca="1" si="230"/>
        <v>0-0</v>
      </c>
      <c r="I611" s="95" t="str">
        <f>IF(AND(J611=$I$2,F$11=0,NOT(E$11="")),IF(OR(AND(Y611=AA611,Z611=AB611),AND(Y611=AB611,Z611=AA611)),"",IF(AND(Y611=Z611,AA611=AB611),Y611&amp;" +2 v. "&amp;AA611&amp;" +2, ",IF(Y611=AA611,Z611&amp;" v. "&amp;AB611&amp;", ",IF(Z611=AB611,Y611&amp;" v. "&amp;AA611&amp;", ",IF(Y611=AB611,Z611&amp;" v. "&amp;AA611&amp;", ",IF(Z611=AA611,Y611&amp;" v. "&amp;AB611&amp;", ",Y611&amp;" v. "&amp;AA611&amp;", "&amp;Z611&amp;" v. "&amp;AB611&amp;", ")))))),"")</f>
        <v/>
      </c>
      <c r="J611" s="97">
        <f>D$11</f>
        <v>1</v>
      </c>
      <c r="K611" s="95" t="str">
        <f t="shared" ca="1" si="231"/>
        <v>SR</v>
      </c>
      <c r="L611" s="95" t="str">
        <f t="shared" ca="1" si="232"/>
        <v>0</v>
      </c>
      <c r="M611" s="95" t="str">
        <f t="shared" ca="1" si="233"/>
        <v>0</v>
      </c>
      <c r="N611" s="95" t="str">
        <f t="shared" ca="1" si="234"/>
        <v>0</v>
      </c>
      <c r="O611" s="95" t="str">
        <f t="shared" ca="1" si="235"/>
        <v>0</v>
      </c>
      <c r="P611" s="95" t="str">
        <f t="shared" ca="1" si="236"/>
        <v>0</v>
      </c>
      <c r="Q611" s="95">
        <f ca="1">IF(AND(G611=T$11,LEN(G611)&gt;1),1,0)</f>
        <v>0</v>
      </c>
      <c r="R611" s="97">
        <f>Doubles!G$11</f>
        <v>10</v>
      </c>
      <c r="S611" s="95">
        <f ca="1">IF(AND(H611=H$11,LEN(H611)&gt;1,Q611=1),1,0)</f>
        <v>0</v>
      </c>
      <c r="V611" s="97">
        <f ca="1">VLOOKUP(10,R602:S625,2,0)</f>
        <v>0</v>
      </c>
      <c r="W611" s="95" t="str">
        <f t="shared" ca="1" si="237"/>
        <v/>
      </c>
      <c r="X611" s="95">
        <f ca="1">IF(F$11=0,IF(AND(G585=G637,NOT(G559=G585),NOT(G611=G637),LEN(W559)&gt;0),2,IF(LEN(W559)=0,0,1)),0)</f>
        <v>0</v>
      </c>
      <c r="AC611" s="95" t="str">
        <f ca="1">IF(AND(LEN(W611)&gt;0,F$11=0),IF(X611=2,W611&amp;" +2, ",W611&amp;", "),"")</f>
        <v/>
      </c>
    </row>
    <row r="612" spans="1:29">
      <c r="A612" s="95">
        <v>11</v>
      </c>
      <c r="B612" s="95">
        <f ca="1">IF(Doubles!G101="",0,Doubles!G101)</f>
        <v>0</v>
      </c>
      <c r="C612" s="99" t="str">
        <f ca="1">IF(OR(LEFT(B612,LEN(B$12))=B$12,LEFT(B612,LEN(C$12))=C$12,LEN(B612)&lt;2),"",IF(B612="no pick","","Wrong pick"))</f>
        <v/>
      </c>
      <c r="D612" s="95">
        <f t="shared" ca="1" si="228"/>
        <v>0</v>
      </c>
      <c r="E612" s="95">
        <f t="shared" ca="1" si="229"/>
        <v>1</v>
      </c>
      <c r="G612" s="95" t="str">
        <f ca="1">IF(B612=0,"",IF(B612="no pick","No Pick",IF(LEFT(B612,LEN(B$12))=B$12,B$12,C$12)))</f>
        <v/>
      </c>
      <c r="H612" s="95" t="str">
        <f t="shared" ca="1" si="230"/>
        <v>0-0</v>
      </c>
      <c r="I612" s="95" t="str">
        <f>IF(AND(J612=$I$2,F$12=0,NOT(E$12="")),IF(OR(AND(Y612=AA612,Z612=AB612),AND(Y612=AB612,Z612=AA612)),"",IF(AND(Y612=Z612,AA612=AB612),Y612&amp;" +2 v. "&amp;AA612&amp;" +2, ",IF(Y612=AA612,Z612&amp;" v. "&amp;AB612&amp;", ",IF(Z612=AB612,Y612&amp;" v. "&amp;AA612&amp;", ",IF(Y612=AB612,Z612&amp;" v. "&amp;AA612&amp;", ",IF(Z612=AA612,Y612&amp;" v. "&amp;AB612&amp;", ",Y612&amp;" v. "&amp;AA612&amp;", "&amp;Z612&amp;" v. "&amp;AB612&amp;", ")))))),"")</f>
        <v/>
      </c>
      <c r="J612" s="97">
        <f>D$12</f>
        <v>1</v>
      </c>
      <c r="K612" s="95" t="str">
        <f t="shared" ca="1" si="231"/>
        <v>SR</v>
      </c>
      <c r="L612" s="95" t="str">
        <f t="shared" ca="1" si="232"/>
        <v>0</v>
      </c>
      <c r="M612" s="95" t="str">
        <f t="shared" ca="1" si="233"/>
        <v>0</v>
      </c>
      <c r="N612" s="95" t="str">
        <f t="shared" ca="1" si="234"/>
        <v>0</v>
      </c>
      <c r="O612" s="95" t="str">
        <f t="shared" ca="1" si="235"/>
        <v>0</v>
      </c>
      <c r="P612" s="95" t="str">
        <f t="shared" ca="1" si="236"/>
        <v>0</v>
      </c>
      <c r="Q612" s="95">
        <f ca="1">IF(AND(G612=T$12,LEN(G612)&gt;1),1,0)</f>
        <v>0</v>
      </c>
      <c r="R612" s="97">
        <f>Doubles!G$12</f>
        <v>11</v>
      </c>
      <c r="S612" s="95">
        <f ca="1">IF(AND(H612=H$12,LEN(H612)&gt;1,Q612=1),1,0)</f>
        <v>0</v>
      </c>
      <c r="V612" s="97">
        <f ca="1">VLOOKUP(11,R602:S625,2,0)</f>
        <v>0</v>
      </c>
      <c r="W612" s="95" t="str">
        <f t="shared" ca="1" si="237"/>
        <v/>
      </c>
      <c r="X612" s="95">
        <f ca="1">IF(F$12=0,IF(AND(G586=G638,NOT(G560=G586),NOT(G612=G638),LEN(W560)&gt;0),2,IF(LEN(W560)=0,0,1)),0)</f>
        <v>0</v>
      </c>
      <c r="AC612" s="95" t="str">
        <f ca="1">IF(AND(LEN(W612)&gt;0,F$12=0),IF(X612=2,W612&amp;" +2, ",W612&amp;", "),"")</f>
        <v/>
      </c>
    </row>
    <row r="613" spans="1:29">
      <c r="A613" s="95">
        <v>12</v>
      </c>
      <c r="B613" s="95">
        <f ca="1">IF(Doubles!G102="",0,Doubles!G102)</f>
        <v>0</v>
      </c>
      <c r="C613" s="99" t="str">
        <f ca="1">IF(OR(LEFT(B613,LEN(B$13))=B$13,LEFT(B613,LEN(C$13))=C$13,LEN(B613)&lt;2),"",IF(B613="no pick","","Wrong pick"))</f>
        <v/>
      </c>
      <c r="D613" s="95">
        <f t="shared" ca="1" si="228"/>
        <v>0</v>
      </c>
      <c r="E613" s="95">
        <f t="shared" ca="1" si="229"/>
        <v>1</v>
      </c>
      <c r="G613" s="95" t="str">
        <f ca="1">IF(B613=0,"",IF(B613="no pick","No Pick",IF(LEFT(B613,LEN(B$13))=B$13,B$13,C$13)))</f>
        <v/>
      </c>
      <c r="H613" s="95" t="str">
        <f t="shared" ca="1" si="230"/>
        <v>0-0</v>
      </c>
      <c r="I613" s="95" t="str">
        <f>IF(AND(J613=$I$2,F$13=0,NOT(E$13="")),IF(OR(AND(Y613=AA613,Z613=AB613),AND(Y613=AB613,Z613=AA613)),"",IF(AND(Y613=Z613,AA613=AB613),Y613&amp;" +2 v. "&amp;AA613&amp;" +2, ",IF(Y613=AA613,Z613&amp;" v. "&amp;AB613&amp;", ",IF(Z613=AB613,Y613&amp;" v. "&amp;AA613&amp;", ",IF(Y613=AB613,Z613&amp;" v. "&amp;AA613&amp;", ",IF(Z613=AA613,Y613&amp;" v. "&amp;AB613&amp;", ",Y613&amp;" v. "&amp;AA613&amp;", "&amp;Z613&amp;" v. "&amp;AB613&amp;", ")))))),"")</f>
        <v/>
      </c>
      <c r="J613" s="97">
        <f>D$13</f>
        <v>1</v>
      </c>
      <c r="K613" s="95" t="str">
        <f t="shared" ca="1" si="231"/>
        <v>SR</v>
      </c>
      <c r="L613" s="95" t="str">
        <f t="shared" ca="1" si="232"/>
        <v>0</v>
      </c>
      <c r="M613" s="95" t="str">
        <f t="shared" ca="1" si="233"/>
        <v>0</v>
      </c>
      <c r="N613" s="95" t="str">
        <f t="shared" ca="1" si="234"/>
        <v>0</v>
      </c>
      <c r="O613" s="95" t="str">
        <f t="shared" ca="1" si="235"/>
        <v>0</v>
      </c>
      <c r="P613" s="95" t="str">
        <f t="shared" ca="1" si="236"/>
        <v>0</v>
      </c>
      <c r="Q613" s="95">
        <f ca="1">IF(AND(G613=T$13,LEN(G613)&gt;1),1,0)</f>
        <v>0</v>
      </c>
      <c r="R613" s="97">
        <f>Doubles!G$13</f>
        <v>12</v>
      </c>
      <c r="S613" s="95">
        <f ca="1">IF(AND(H613=H$13,LEN(H613)&gt;1,Q613=1),1,0)</f>
        <v>0</v>
      </c>
      <c r="V613" s="97">
        <f ca="1">VLOOKUP(12,R602:S625,2,0)</f>
        <v>0</v>
      </c>
      <c r="W613" s="95" t="str">
        <f t="shared" ca="1" si="237"/>
        <v/>
      </c>
      <c r="X613" s="95">
        <f ca="1">IF(F$13=0,IF(AND(G587=G639,NOT(G561=G587),NOT(G613=G639),LEN(W561)&gt;0),2,IF(LEN(W561)=0,0,1)),0)</f>
        <v>0</v>
      </c>
      <c r="AC613" s="95" t="str">
        <f ca="1">IF(AND(LEN(W613)&gt;0,F$13=0),IF(X613=2,W613&amp;" +2, ",W613&amp;", "),"")</f>
        <v/>
      </c>
    </row>
    <row r="614" spans="1:29">
      <c r="A614" s="95">
        <v>13</v>
      </c>
      <c r="B614" s="95">
        <f ca="1">IF(Doubles!G103="",0,Doubles!G103)</f>
        <v>0</v>
      </c>
      <c r="C614" s="99" t="str">
        <f ca="1">IF(OR(LEFT(B614,LEN(B$14))=B$14,LEFT(B614,LEN(C$14))=C$14,LEN(B614)&lt;2),"",IF(B614="no pick","","Wrong pick"))</f>
        <v/>
      </c>
      <c r="D614" s="95">
        <f t="shared" ca="1" si="228"/>
        <v>0</v>
      </c>
      <c r="E614" s="95">
        <f t="shared" ca="1" si="229"/>
        <v>1</v>
      </c>
      <c r="G614" s="95" t="str">
        <f ca="1">IF(B614=0,"",IF(B614="no pick","No Pick",IF(LEFT(B614,LEN(B$14))=B$14,B$14,C$14)))</f>
        <v/>
      </c>
      <c r="H614" s="95" t="str">
        <f t="shared" ca="1" si="230"/>
        <v>0-0</v>
      </c>
      <c r="I614" s="95" t="str">
        <f>IF(AND(J614=$I$2,F$14=0,NOT(E$14="")),IF(OR(AND(Y614=AA614,Z614=AB614),AND(Y614=AB614,Z614=AA614)),"",IF(AND(Y614=Z614,AA614=AB614),Y614&amp;" +2 v. "&amp;AA614&amp;" +2, ",IF(Y614=AA614,Z614&amp;" v. "&amp;AB614&amp;", ",IF(Z614=AB614,Y614&amp;" v. "&amp;AA614&amp;", ",IF(Y614=AB614,Z614&amp;" v. "&amp;AA614&amp;", ",IF(Z614=AA614,Y614&amp;" v. "&amp;AB614&amp;", ",Y614&amp;" v. "&amp;AA614&amp;", "&amp;Z614&amp;" v. "&amp;AB614&amp;", ")))))),"")</f>
        <v/>
      </c>
      <c r="J614" s="97">
        <f>D$14</f>
        <v>1</v>
      </c>
      <c r="K614" s="95" t="str">
        <f t="shared" ca="1" si="231"/>
        <v>SR</v>
      </c>
      <c r="L614" s="95" t="str">
        <f t="shared" ca="1" si="232"/>
        <v>0</v>
      </c>
      <c r="M614" s="95" t="str">
        <f t="shared" ca="1" si="233"/>
        <v>0</v>
      </c>
      <c r="N614" s="95" t="str">
        <f t="shared" ca="1" si="234"/>
        <v>0</v>
      </c>
      <c r="O614" s="95" t="str">
        <f t="shared" ca="1" si="235"/>
        <v>0</v>
      </c>
      <c r="P614" s="95" t="str">
        <f t="shared" ca="1" si="236"/>
        <v>0</v>
      </c>
      <c r="Q614" s="95">
        <f ca="1">IF(AND(G614=T$14,LEN(G614)&gt;1),1,0)</f>
        <v>0</v>
      </c>
      <c r="R614" s="97">
        <f>Doubles!G$14</f>
        <v>13</v>
      </c>
      <c r="S614" s="95">
        <f ca="1">IF(AND(H614=H$14,LEN(H614)&gt;1,Q614=1),1,0)</f>
        <v>0</v>
      </c>
      <c r="V614" s="97">
        <f ca="1">VLOOKUP(13,R602:S625,2,0)</f>
        <v>0</v>
      </c>
      <c r="W614" s="95" t="str">
        <f t="shared" ca="1" si="237"/>
        <v/>
      </c>
      <c r="X614" s="95">
        <f ca="1">IF(F$14=0,IF(AND(G588=G640,NOT(G562=G588),NOT(G614=G640),LEN(W562)&gt;0),2,IF(LEN(W562)=0,0,1)),0)</f>
        <v>0</v>
      </c>
      <c r="AC614" s="95" t="str">
        <f ca="1">IF(AND(LEN(W614)&gt;0,F$14=0),IF(X614=2,W614&amp;" +2, ",W614&amp;", "),"")</f>
        <v/>
      </c>
    </row>
    <row r="615" spans="1:29">
      <c r="A615" s="95">
        <v>14</v>
      </c>
      <c r="B615" s="95">
        <f ca="1">IF(Doubles!G104="",0,Doubles!G104)</f>
        <v>0</v>
      </c>
      <c r="C615" s="99" t="str">
        <f ca="1">IF(OR(LEFT(B615,LEN(B$15))=B$15,LEFT(B615,LEN(C$15))=C$15,LEN(B615)&lt;2),"",IF(B615="no pick","","Wrong pick"))</f>
        <v/>
      </c>
      <c r="D615" s="95">
        <f t="shared" ca="1" si="228"/>
        <v>0</v>
      </c>
      <c r="E615" s="95">
        <f t="shared" ca="1" si="229"/>
        <v>1</v>
      </c>
      <c r="G615" s="95" t="str">
        <f ca="1">IF(B615=0,"",IF(B615="no pick","No Pick",IF(LEFT(B615,LEN(B$15))=B$15,B$15,C$15)))</f>
        <v/>
      </c>
      <c r="H615" s="95" t="str">
        <f t="shared" ca="1" si="230"/>
        <v>0-0</v>
      </c>
      <c r="I615" s="95" t="str">
        <f>IF(AND(J615=$I$2,F$15=0,NOT(E$15="")),IF(OR(AND(Y615=AA615,Z615=AB615),AND(Y615=AB615,Z615=AA615)),"",IF(AND(Y615=Z615,AA615=AB615),Y615&amp;" +2 v. "&amp;AA615&amp;" +2, ",IF(Y615=AA615,Z615&amp;" v. "&amp;AB615&amp;", ",IF(Z615=AB615,Y615&amp;" v. "&amp;AA615&amp;", ",IF(Y615=AB615,Z615&amp;" v. "&amp;AA615&amp;", ",IF(Z615=AA615,Y615&amp;" v. "&amp;AB615&amp;", ",Y615&amp;" v. "&amp;AA615&amp;", "&amp;Z615&amp;" v. "&amp;AB615&amp;", ")))))),"")</f>
        <v/>
      </c>
      <c r="J615" s="97">
        <f>D$15</f>
        <v>1</v>
      </c>
      <c r="K615" s="95" t="str">
        <f t="shared" ca="1" si="231"/>
        <v>SR</v>
      </c>
      <c r="L615" s="95" t="str">
        <f t="shared" ca="1" si="232"/>
        <v>0</v>
      </c>
      <c r="M615" s="95" t="str">
        <f t="shared" ca="1" si="233"/>
        <v>0</v>
      </c>
      <c r="N615" s="95" t="str">
        <f t="shared" ca="1" si="234"/>
        <v>0</v>
      </c>
      <c r="O615" s="95" t="str">
        <f t="shared" ca="1" si="235"/>
        <v>0</v>
      </c>
      <c r="P615" s="95" t="str">
        <f t="shared" ca="1" si="236"/>
        <v>0</v>
      </c>
      <c r="Q615" s="95">
        <f ca="1">IF(AND(G615=T$15,LEN(G615)&gt;1),1,0)</f>
        <v>0</v>
      </c>
      <c r="R615" s="97">
        <f>Doubles!G$15</f>
        <v>14</v>
      </c>
      <c r="S615" s="95">
        <f ca="1">IF(AND(H615=H$15,LEN(H615)&gt;1,Q615=1),1,0)</f>
        <v>0</v>
      </c>
      <c r="V615" s="97">
        <f ca="1">VLOOKUP(14,R602:S625,2,0)</f>
        <v>0</v>
      </c>
      <c r="W615" s="95" t="str">
        <f t="shared" ca="1" si="237"/>
        <v/>
      </c>
      <c r="X615" s="95">
        <f ca="1">IF(F$15=0,IF(AND(G589=G641,NOT(G563=G589),NOT(G615=G641),LEN(W563)&gt;0),2,IF(LEN(W563)=0,0,1)),0)</f>
        <v>0</v>
      </c>
      <c r="AC615" s="95" t="str">
        <f ca="1">IF(AND(LEN(W615)&gt;0,F$15=0),IF(X615=2,W615&amp;" +2, ",W615&amp;", "),"")</f>
        <v/>
      </c>
    </row>
    <row r="616" spans="1:29">
      <c r="A616" s="95">
        <v>15</v>
      </c>
      <c r="B616" s="95">
        <f ca="1">IF(Doubles!G105="",0,Doubles!G105)</f>
        <v>0</v>
      </c>
      <c r="C616" s="99" t="str">
        <f ca="1">IF(OR(LEFT(B616,LEN(B$16))=B$16,LEFT(B616,LEN(C$16))=C$16,LEN(B616)&lt;2),"",IF(B616="no pick","","Wrong pick"))</f>
        <v/>
      </c>
      <c r="D616" s="95">
        <f t="shared" ca="1" si="228"/>
        <v>0</v>
      </c>
      <c r="E616" s="95">
        <f t="shared" ca="1" si="229"/>
        <v>1</v>
      </c>
      <c r="G616" s="95" t="str">
        <f ca="1">IF(B616=0,"",IF(B616="no pick","No Pick",IF(LEFT(B616,LEN(B$16))=B$16,B$16,C$16)))</f>
        <v/>
      </c>
      <c r="H616" s="95" t="str">
        <f t="shared" ca="1" si="230"/>
        <v>0-0</v>
      </c>
      <c r="I616" s="95" t="str">
        <f>IF(AND(J616=$I$2,F$16=0,NOT(E$16="")),IF(OR(AND(Y616=AA616,Z616=AB616),AND(Y616=AB616,Z616=AA616)),"",IF(AND(Y616=Z616,AA616=AB616),Y616&amp;" +2 v. "&amp;AA616&amp;" +2, ",IF(Y616=AA616,Z616&amp;" v. "&amp;AB616&amp;", ",IF(Z616=AB616,Y616&amp;" v. "&amp;AA616&amp;", ",IF(Y616=AB616,Z616&amp;" v. "&amp;AA616&amp;", ",IF(Z616=AA616,Y616&amp;" v. "&amp;AB616&amp;", ",Y616&amp;" v. "&amp;AA616&amp;", "&amp;Z616&amp;" v. "&amp;AB616&amp;", ")))))),"")</f>
        <v/>
      </c>
      <c r="J616" s="97">
        <f>D$16</f>
        <v>1</v>
      </c>
      <c r="K616" s="95" t="str">
        <f t="shared" ca="1" si="231"/>
        <v>SR</v>
      </c>
      <c r="L616" s="95" t="str">
        <f t="shared" ca="1" si="232"/>
        <v>0</v>
      </c>
      <c r="M616" s="95" t="str">
        <f t="shared" ca="1" si="233"/>
        <v>0</v>
      </c>
      <c r="N616" s="95" t="str">
        <f t="shared" ca="1" si="234"/>
        <v>0</v>
      </c>
      <c r="O616" s="95" t="str">
        <f t="shared" ca="1" si="235"/>
        <v>0</v>
      </c>
      <c r="P616" s="95" t="str">
        <f t="shared" ca="1" si="236"/>
        <v>0</v>
      </c>
      <c r="Q616" s="95">
        <f ca="1">IF(AND(G616=T$16,LEN(G616)&gt;1),1,0)</f>
        <v>0</v>
      </c>
      <c r="R616" s="97">
        <f>Doubles!G$16</f>
        <v>15</v>
      </c>
      <c r="S616" s="95">
        <f ca="1">IF(AND(H616=H$16,LEN(H616)&gt;1,Q616=1),1,0)</f>
        <v>0</v>
      </c>
      <c r="V616" s="97">
        <f ca="1">VLOOKUP(15,R602:S625,2,0)</f>
        <v>0</v>
      </c>
      <c r="W616" s="95" t="str">
        <f t="shared" ca="1" si="237"/>
        <v/>
      </c>
      <c r="X616" s="95">
        <f ca="1">IF(F$16=0,IF(AND(G590=G642,NOT(G564=G590),NOT(G616=G642),LEN(W564)&gt;0),2,IF(LEN(W564)=0,0,1)),0)</f>
        <v>0</v>
      </c>
      <c r="AC616" s="95" t="str">
        <f ca="1">IF(AND(LEN(W616)&gt;0,F$16=0),IF(X616=2,W616&amp;" +2, ",W616&amp;", "),"")</f>
        <v/>
      </c>
    </row>
    <row r="617" spans="1:29">
      <c r="A617" s="95">
        <v>16</v>
      </c>
      <c r="B617" s="95">
        <f ca="1">IF(Doubles!G106="",0,Doubles!G106)</f>
        <v>0</v>
      </c>
      <c r="C617" s="99" t="str">
        <f ca="1">IF(OR(LEFT(B617,LEN(B$17))=B$17,LEFT(B617,LEN(C$17))=C$17,LEN(B617)&lt;2),"",IF(B617="no pick","","Wrong pick"))</f>
        <v/>
      </c>
      <c r="D617" s="95">
        <f t="shared" ca="1" si="228"/>
        <v>0</v>
      </c>
      <c r="E617" s="95">
        <f t="shared" ca="1" si="229"/>
        <v>1</v>
      </c>
      <c r="G617" s="95" t="str">
        <f ca="1">IF(B617=0,"",IF(B617="no pick","No Pick",IF(LEFT(B617,LEN(B$17))=B$17,B$17,C$17)))</f>
        <v/>
      </c>
      <c r="H617" s="95" t="str">
        <f t="shared" ca="1" si="230"/>
        <v>0-0</v>
      </c>
      <c r="I617" s="95" t="str">
        <f>IF(AND(J617=$I$2,F$17=0,NOT(E$17="")),IF(OR(AND(Y617=AA617,Z617=AB617),AND(Y617=AB617,Z617=AA617)),"",IF(AND(Y617=Z617,AA617=AB617),Y617&amp;" +2 v. "&amp;AA617&amp;" +2, ",IF(Y617=AA617,Z617&amp;" v. "&amp;AB617&amp;", ",IF(Z617=AB617,Y617&amp;" v. "&amp;AA617&amp;", ",IF(Y617=AB617,Z617&amp;" v. "&amp;AA617&amp;", ",IF(Z617=AA617,Y617&amp;" v. "&amp;AB617&amp;", ",Y617&amp;" v. "&amp;AA617&amp;", "&amp;Z617&amp;" v. "&amp;AB617&amp;", ")))))),"")</f>
        <v/>
      </c>
      <c r="J617" s="97">
        <f>D$17</f>
        <v>1</v>
      </c>
      <c r="K617" s="95" t="str">
        <f t="shared" ca="1" si="231"/>
        <v>SR</v>
      </c>
      <c r="L617" s="95" t="str">
        <f t="shared" ca="1" si="232"/>
        <v>0</v>
      </c>
      <c r="M617" s="95" t="str">
        <f t="shared" ca="1" si="233"/>
        <v>0</v>
      </c>
      <c r="N617" s="95" t="str">
        <f t="shared" ca="1" si="234"/>
        <v>0</v>
      </c>
      <c r="O617" s="95" t="str">
        <f t="shared" ca="1" si="235"/>
        <v>0</v>
      </c>
      <c r="P617" s="95" t="str">
        <f t="shared" ca="1" si="236"/>
        <v>0</v>
      </c>
      <c r="Q617" s="95">
        <f ca="1">IF(AND(G617=T$17,LEN(G617)&gt;1),1,0)</f>
        <v>0</v>
      </c>
      <c r="R617" s="97">
        <f>Doubles!G$17</f>
        <v>16</v>
      </c>
      <c r="S617" s="95">
        <f ca="1">IF(AND(H617=H$17,LEN(H617)&gt;1,Q617=1),1,0)</f>
        <v>0</v>
      </c>
      <c r="V617" s="97">
        <f ca="1">VLOOKUP(16,R602:S625,2,0)</f>
        <v>0</v>
      </c>
      <c r="W617" s="95" t="str">
        <f t="shared" ca="1" si="237"/>
        <v/>
      </c>
      <c r="X617" s="95">
        <f ca="1">IF(F$17=0,IF(AND(G591=G643,NOT(G565=G591),NOT(G617=G643),LEN(W565)&gt;0),2,IF(LEN(W565)=0,0,1)),0)</f>
        <v>0</v>
      </c>
      <c r="AC617" s="95" t="str">
        <f ca="1">IF(AND(LEN(W617)&gt;0,F$17=0),IF(X617=2,W617&amp;" +2, ",W617&amp;", "),"")</f>
        <v/>
      </c>
    </row>
    <row r="618" spans="1:29">
      <c r="A618" s="95">
        <v>17</v>
      </c>
      <c r="B618" s="95">
        <f>IF(Doubles!G107="",0,Doubles!G107)</f>
        <v>0</v>
      </c>
      <c r="C618" s="99" t="str">
        <f>IF(OR(LEFT(B618,LEN(B$18))=B$18,LEFT(B618,LEN(C$18))=C$18,LEN(B618)&lt;2),"",IF(B618="no pick","","Wrong pick"))</f>
        <v/>
      </c>
      <c r="D618" s="95">
        <f t="shared" si="228"/>
        <v>0</v>
      </c>
      <c r="E618" s="95">
        <f t="shared" si="229"/>
        <v>0</v>
      </c>
      <c r="G618" s="95" t="str">
        <f>IF(B618=0,"",IF(B618="no pick","No Pick",IF(LEFT(B618,LEN(B$18))=B$18,B$18,C$18)))</f>
        <v/>
      </c>
      <c r="H618" s="95" t="str">
        <f t="shared" si="230"/>
        <v>0-0</v>
      </c>
      <c r="I618" s="95" t="str">
        <f>IF(AND(J618=$I$2,F$18=0,NOT(E$18="")),IF(OR(AND(Y618=AA618,Z618=AB618),AND(Y618=AB618,Z618=AA618)),"",IF(AND(Y618=Z618,AA618=AB618),Y618&amp;" +2 v. "&amp;AA618&amp;" +2, ",IF(Y618=AA618,Z618&amp;" v. "&amp;AB618&amp;", ",IF(Z618=AB618,Y618&amp;" v. "&amp;AA618&amp;", ",IF(Y618=AB618,Z618&amp;" v. "&amp;AA618&amp;", ",IF(Z618=AA618,Y618&amp;" v. "&amp;AB618&amp;", ",Y618&amp;" v. "&amp;AA618&amp;", "&amp;Z618&amp;" v. "&amp;AB618&amp;", ")))))),"")</f>
        <v/>
      </c>
      <c r="J618" s="95">
        <f>D$18</f>
        <v>0</v>
      </c>
      <c r="K618" s="95" t="str">
        <f t="shared" si="231"/>
        <v>SR</v>
      </c>
      <c r="L618" s="95" t="str">
        <f t="shared" si="232"/>
        <v>0</v>
      </c>
      <c r="M618" s="95" t="str">
        <f t="shared" si="233"/>
        <v>0</v>
      </c>
      <c r="N618" s="95" t="str">
        <f t="shared" si="234"/>
        <v>0</v>
      </c>
      <c r="O618" s="95" t="str">
        <f t="shared" si="235"/>
        <v>0</v>
      </c>
      <c r="P618" s="95" t="str">
        <f t="shared" si="236"/>
        <v>0</v>
      </c>
      <c r="Q618" s="95">
        <f>IF(AND(G618=T$18,LEN(G618)&gt;1),1,0)</f>
        <v>0</v>
      </c>
      <c r="R618" s="97">
        <f>Doubles!G$18</f>
        <v>17</v>
      </c>
      <c r="S618" s="95">
        <f>IF(AND(H618=H$18,LEN(H618)&gt;1,Q618=1),1,0)</f>
        <v>0</v>
      </c>
      <c r="V618" s="95">
        <f>VLOOKUP(17,R602:S625,2,0)</f>
        <v>0</v>
      </c>
      <c r="W618" s="95" t="str">
        <f t="shared" si="237"/>
        <v/>
      </c>
      <c r="X618" s="95">
        <f>IF(F$18=0,IF(AND(G592=G644,NOT(G566=G592),NOT(G618=G644),LEN(W566)&gt;0),2,IF(LEN(W566)=0,0,1)),0)</f>
        <v>0</v>
      </c>
      <c r="AC618" s="95" t="str">
        <f>IF(AND(LEN(W618)&gt;0,F$18=0),IF(X618=2,W618&amp;" +2, ",W618&amp;", "),"")</f>
        <v/>
      </c>
    </row>
    <row r="619" spans="1:29">
      <c r="A619" s="95">
        <v>18</v>
      </c>
      <c r="B619" s="95">
        <f>IF(Doubles!G108="",0,Doubles!G108)</f>
        <v>0</v>
      </c>
      <c r="C619" s="99" t="str">
        <f>IF(OR(LEFT(B619,LEN(B$19))=B$19,LEFT(B619,LEN(C$19))=C$19,LEN(B619)&lt;2),"",IF(B619="no pick","","Wrong pick"))</f>
        <v/>
      </c>
      <c r="D619" s="95">
        <f t="shared" si="228"/>
        <v>0</v>
      </c>
      <c r="E619" s="95">
        <f t="shared" si="229"/>
        <v>0</v>
      </c>
      <c r="G619" s="95" t="str">
        <f>IF(B619=0,"",IF(B619="no pick","No Pick",IF(LEFT(B619,LEN(B$19))=B$19,B$19,C$19)))</f>
        <v/>
      </c>
      <c r="H619" s="95" t="str">
        <f t="shared" si="230"/>
        <v>0-0</v>
      </c>
      <c r="I619" s="95" t="str">
        <f>IF(AND(J619=$I$2,F$19=0,NOT(E$19="")),IF(OR(AND(Y619=AA619,Z619=AB619),AND(Y619=AB619,Z619=AA619)),"",IF(AND(Y619=Z619,AA619=AB619),Y619&amp;" +2 v. "&amp;AA619&amp;" +2, ",IF(Y619=AA619,Z619&amp;" v. "&amp;AB619&amp;", ",IF(Z619=AB619,Y619&amp;" v. "&amp;AA619&amp;", ",IF(Y619=AB619,Z619&amp;" v. "&amp;AA619&amp;", ",IF(Z619=AA619,Y619&amp;" v. "&amp;AB619&amp;", ",Y619&amp;" v. "&amp;AA619&amp;", "&amp;Z619&amp;" v. "&amp;AB619&amp;", ")))))),"")</f>
        <v/>
      </c>
      <c r="J619" s="95">
        <f>D$19</f>
        <v>0</v>
      </c>
      <c r="K619" s="95" t="str">
        <f t="shared" si="231"/>
        <v>SR</v>
      </c>
      <c r="L619" s="95" t="str">
        <f t="shared" si="232"/>
        <v>0</v>
      </c>
      <c r="M619" s="95" t="str">
        <f t="shared" si="233"/>
        <v>0</v>
      </c>
      <c r="N619" s="95" t="str">
        <f t="shared" si="234"/>
        <v>0</v>
      </c>
      <c r="O619" s="95" t="str">
        <f t="shared" si="235"/>
        <v>0</v>
      </c>
      <c r="P619" s="95" t="str">
        <f t="shared" si="236"/>
        <v>0</v>
      </c>
      <c r="Q619" s="95">
        <f>IF(AND(G619=T$19,LEN(G619)&gt;1),1,0)</f>
        <v>0</v>
      </c>
      <c r="R619" s="97">
        <f>Doubles!G$19</f>
        <v>18</v>
      </c>
      <c r="S619" s="95">
        <f>IF(AND(H619=H$19,LEN(H619)&gt;1,Q619=1),1,0)</f>
        <v>0</v>
      </c>
      <c r="V619" s="97">
        <f>VLOOKUP(18,R602:S625,2,0)</f>
        <v>0</v>
      </c>
      <c r="W619" s="95" t="str">
        <f t="shared" si="237"/>
        <v/>
      </c>
      <c r="X619" s="95">
        <f>IF(F$19=0,IF(AND(G593=G645,NOT(G567=G593),NOT(G619=G645),LEN(W567)&gt;0),2,IF(LEN(W567)=0,0,1)),0)</f>
        <v>0</v>
      </c>
      <c r="AC619" s="95" t="str">
        <f>IF(AND(LEN(W619)&gt;0,F$19=0),IF(X619=2,W619&amp;" +2, ",W619&amp;", "),"")</f>
        <v/>
      </c>
    </row>
    <row r="620" spans="1:29">
      <c r="A620" s="95">
        <v>19</v>
      </c>
      <c r="B620" s="95">
        <f>IF(Doubles!G109="",0,Doubles!G109)</f>
        <v>0</v>
      </c>
      <c r="C620" s="99" t="str">
        <f>IF(OR(LEFT(B620,LEN(B$20))=B$20,LEFT(B620,LEN(C$20))=C$20,LEN(B620)&lt;2),"",IF(B620="no pick","","Wrong pick"))</f>
        <v/>
      </c>
      <c r="D620" s="95">
        <f t="shared" si="228"/>
        <v>0</v>
      </c>
      <c r="E620" s="95">
        <f t="shared" si="229"/>
        <v>0</v>
      </c>
      <c r="G620" s="95" t="str">
        <f>IF(B620=0,"",IF(B620="no pick","No Pick",IF(LEFT(B620,LEN(B$20))=B$20,B$20,C$20)))</f>
        <v/>
      </c>
      <c r="H620" s="95" t="str">
        <f t="shared" si="230"/>
        <v>0-0</v>
      </c>
      <c r="I620" s="95" t="str">
        <f>IF(AND(J620=$I$2,F$20=0,NOT(E$20="")),IF(OR(AND(Y620=AA620,Z620=AB620),AND(Y620=AB620,Z620=AA620)),"",IF(AND(Y620=Z620,AA620=AB620),Y620&amp;" +2 v. "&amp;AA620&amp;" +2, ",IF(Y620=AA620,Z620&amp;" v. "&amp;AB620&amp;", ",IF(Z620=AB620,Y620&amp;" v. "&amp;AA620&amp;", ",IF(Y620=AB620,Z620&amp;" v. "&amp;AA620&amp;", ",IF(Z620=AA620,Y620&amp;" v. "&amp;AB620&amp;", ",Y620&amp;" v. "&amp;AA620&amp;", "&amp;Z620&amp;" v. "&amp;AB620&amp;", ")))))),"")</f>
        <v/>
      </c>
      <c r="J620" s="95">
        <f>D$20</f>
        <v>0</v>
      </c>
      <c r="K620" s="95" t="str">
        <f t="shared" si="231"/>
        <v>SR</v>
      </c>
      <c r="L620" s="95" t="str">
        <f t="shared" si="232"/>
        <v>0</v>
      </c>
      <c r="M620" s="95" t="str">
        <f t="shared" si="233"/>
        <v>0</v>
      </c>
      <c r="N620" s="95" t="str">
        <f t="shared" si="234"/>
        <v>0</v>
      </c>
      <c r="O620" s="95" t="str">
        <f t="shared" si="235"/>
        <v>0</v>
      </c>
      <c r="P620" s="95" t="str">
        <f t="shared" si="236"/>
        <v>0</v>
      </c>
      <c r="Q620" s="95">
        <f>IF(AND(G620=T$20,LEN(G620)&gt;1),1,0)</f>
        <v>0</v>
      </c>
      <c r="R620" s="97">
        <f>Doubles!G$20</f>
        <v>19</v>
      </c>
      <c r="S620" s="95">
        <f>IF(AND(H620=H$20,LEN(H620)&gt;1,Q620=1),1,0)</f>
        <v>0</v>
      </c>
      <c r="V620" s="97">
        <f>VLOOKUP(19,R602:S625,2,0)</f>
        <v>0</v>
      </c>
      <c r="W620" s="95" t="str">
        <f t="shared" si="237"/>
        <v/>
      </c>
      <c r="X620" s="95">
        <f>IF(F$20=0,IF(AND(G594=G646,NOT(G568=G594),NOT(G620=G646),LEN(W568)&gt;0),2,IF(LEN(W568)=0,0,1)),0)</f>
        <v>0</v>
      </c>
      <c r="AC620" s="95" t="str">
        <f>IF(AND(LEN(W620)&gt;0,F$20=0),IF(X620=2,W620&amp;" +2, ",W620&amp;", "),"")</f>
        <v/>
      </c>
    </row>
    <row r="621" spans="1:29">
      <c r="A621" s="95">
        <v>20</v>
      </c>
      <c r="B621" s="95">
        <f>IF(Doubles!G110="",0,Doubles!G110)</f>
        <v>0</v>
      </c>
      <c r="C621" s="99" t="str">
        <f>IF(OR(LEFT(B621,LEN(B$21))=B$21,LEFT(B621,LEN(C$21))=C$21,LEN(B621)&lt;2),"",IF(B621="no pick","","Wrong pick"))</f>
        <v/>
      </c>
      <c r="D621" s="95">
        <f t="shared" si="228"/>
        <v>0</v>
      </c>
      <c r="E621" s="95">
        <f t="shared" si="229"/>
        <v>0</v>
      </c>
      <c r="G621" s="95" t="str">
        <f>IF(B621=0,"",IF(B621="no pick","No Pick",IF(LEFT(B621,LEN(B$21))=B$21,B$21,C$21)))</f>
        <v/>
      </c>
      <c r="H621" s="95" t="str">
        <f t="shared" si="230"/>
        <v>0-0</v>
      </c>
      <c r="I621" s="95" t="str">
        <f>IF(AND(J621=$I$2,F$21=0,NOT(E$21="")),IF(OR(AND(Y621=AA621,Z621=AB621),AND(Y621=AB621,Z621=AA621)),"",IF(AND(Y621=Z621,AA621=AB621),Y621&amp;" +2 v. "&amp;AA621&amp;" +2, ",IF(Y621=AA621,Z621&amp;" v. "&amp;AB621&amp;", ",IF(Z621=AB621,Y621&amp;" v. "&amp;AA621&amp;", ",IF(Y621=AB621,Z621&amp;" v. "&amp;AA621&amp;", ",IF(Z621=AA621,Y621&amp;" v. "&amp;AB621&amp;", ",Y621&amp;" v. "&amp;AA621&amp;", "&amp;Z621&amp;" v. "&amp;AB621&amp;", ")))))),"")</f>
        <v/>
      </c>
      <c r="J621" s="95">
        <f>D$21</f>
        <v>0</v>
      </c>
      <c r="K621" s="95" t="str">
        <f t="shared" si="231"/>
        <v>SR</v>
      </c>
      <c r="L621" s="95" t="str">
        <f t="shared" si="232"/>
        <v>0</v>
      </c>
      <c r="M621" s="95" t="str">
        <f t="shared" si="233"/>
        <v>0</v>
      </c>
      <c r="N621" s="95" t="str">
        <f t="shared" si="234"/>
        <v>0</v>
      </c>
      <c r="O621" s="95" t="str">
        <f t="shared" si="235"/>
        <v>0</v>
      </c>
      <c r="P621" s="95" t="str">
        <f t="shared" si="236"/>
        <v>0</v>
      </c>
      <c r="Q621" s="95">
        <f>IF(AND(G621=T$21,LEN(G621)&gt;1),1,0)</f>
        <v>0</v>
      </c>
      <c r="R621" s="97">
        <f>Doubles!G$21</f>
        <v>20</v>
      </c>
      <c r="S621" s="95">
        <f>IF(AND(H621=H$21,LEN(H621)&gt;1,Q621=1),1,0)</f>
        <v>0</v>
      </c>
      <c r="V621" s="97">
        <f>VLOOKUP(20,R602:S625,2,0)</f>
        <v>0</v>
      </c>
      <c r="W621" s="95" t="str">
        <f t="shared" si="237"/>
        <v/>
      </c>
      <c r="X621" s="95">
        <f>IF(F$21=0,IF(AND(G595=G647,NOT(G569=G595),NOT(G621=G647),LEN(W569)&gt;0),2,IF(LEN(W569)=0,0,1)),0)</f>
        <v>0</v>
      </c>
      <c r="AC621" s="95" t="str">
        <f>IF(AND(LEN(W621)&gt;0,F$21=0),IF(X621=2,W621&amp;" +2, ",W621&amp;", "),"")</f>
        <v/>
      </c>
    </row>
    <row r="622" spans="1:29">
      <c r="A622" s="95">
        <v>21</v>
      </c>
      <c r="B622" s="95">
        <f>IF(Doubles!G111="",0,Doubles!G111)</f>
        <v>0</v>
      </c>
      <c r="C622" s="99" t="str">
        <f>IF(OR(LEFT(B622,LEN(B$22))=B$22,LEFT(B622,LEN(C$22))=C$22,LEN(B622)&lt;2),"",IF(B622="no pick","","Wrong pick"))</f>
        <v/>
      </c>
      <c r="D622" s="95">
        <f t="shared" si="228"/>
        <v>0</v>
      </c>
      <c r="E622" s="95">
        <f t="shared" si="229"/>
        <v>0</v>
      </c>
      <c r="G622" s="95" t="str">
        <f>IF(B622=0,"",IF(B622="no pick","No Pick",IF(LEFT(B622,LEN(B$22))=B$22,B$22,C$22)))</f>
        <v/>
      </c>
      <c r="H622" s="95" t="str">
        <f t="shared" si="230"/>
        <v>0-0</v>
      </c>
      <c r="I622" s="95" t="str">
        <f>IF(AND(J622=$I$2,F$22=0,NOT(E$22="")),IF(OR(AND(Y622=AA622,Z622=AB622),AND(Y622=AB622,Z622=AA622)),"",IF(AND(Y622=Z622,AA622=AB622),Y622&amp;" +2 v. "&amp;AA622&amp;" +2, ",IF(Y622=AA622,Z622&amp;" v. "&amp;AB622&amp;", ",IF(Z622=AB622,Y622&amp;" v. "&amp;AA622&amp;", ",IF(Y622=AB622,Z622&amp;" v. "&amp;AA622&amp;", ",IF(Z622=AA622,Y622&amp;" v. "&amp;AB622&amp;", ",Y622&amp;" v. "&amp;AA622&amp;", "&amp;Z622&amp;" v. "&amp;AB622&amp;", ")))))),"")</f>
        <v/>
      </c>
      <c r="J622" s="95">
        <f>D$22</f>
        <v>0</v>
      </c>
      <c r="K622" s="95" t="str">
        <f t="shared" si="231"/>
        <v>SR</v>
      </c>
      <c r="L622" s="95" t="str">
        <f t="shared" si="232"/>
        <v>0</v>
      </c>
      <c r="M622" s="95" t="str">
        <f t="shared" si="233"/>
        <v>0</v>
      </c>
      <c r="N622" s="95" t="str">
        <f t="shared" si="234"/>
        <v>0</v>
      </c>
      <c r="O622" s="95" t="str">
        <f t="shared" si="235"/>
        <v>0</v>
      </c>
      <c r="P622" s="95" t="str">
        <f t="shared" si="236"/>
        <v>0</v>
      </c>
      <c r="Q622" s="95">
        <f>IF(AND(G622=T$22,LEN(G622)&gt;1),1,0)</f>
        <v>0</v>
      </c>
      <c r="R622" s="97">
        <f>Doubles!G$22</f>
        <v>21</v>
      </c>
      <c r="S622" s="95">
        <f>IF(AND(H622=H$22,LEN(H622)&gt;1,Q622=1),1,0)</f>
        <v>0</v>
      </c>
      <c r="V622" s="97">
        <f>VLOOKUP(21,R602:S625,2,0)</f>
        <v>0</v>
      </c>
      <c r="W622" s="95" t="str">
        <f t="shared" si="237"/>
        <v/>
      </c>
      <c r="X622" s="95">
        <f>IF(F$22=0,IF(AND(G596=G648,NOT(G570=G596),NOT(G622=G648),LEN(W570)&gt;0),2,IF(LEN(W570)=0,0,1)),0)</f>
        <v>0</v>
      </c>
      <c r="AC622" s="95" t="str">
        <f>IF(AND(LEN(W622)&gt;0,F$22=0),IF(X622=2,W622&amp;" +2, ",W622&amp;", "),"")</f>
        <v/>
      </c>
    </row>
    <row r="623" spans="1:29">
      <c r="A623" s="95">
        <v>22</v>
      </c>
      <c r="B623" s="95">
        <f>IF(Doubles!G112="",0,Doubles!G112)</f>
        <v>0</v>
      </c>
      <c r="C623" s="99" t="str">
        <f>IF(OR(LEFT(B623,LEN(B$23))=B$23,LEFT(B623,LEN(C$23))=C$23,LEN(B623)&lt;2),"",IF(B623="no pick","","Wrong pick"))</f>
        <v/>
      </c>
      <c r="D623" s="95">
        <f t="shared" si="228"/>
        <v>0</v>
      </c>
      <c r="E623" s="95">
        <f t="shared" si="229"/>
        <v>0</v>
      </c>
      <c r="G623" s="95" t="str">
        <f>IF(B623=0,"",IF(B623="no pick","No Pick",IF(LEFT(B623,LEN(B$23))=B$23,B$23,C$23)))</f>
        <v/>
      </c>
      <c r="H623" s="95" t="str">
        <f t="shared" si="230"/>
        <v>0-0</v>
      </c>
      <c r="I623" s="95" t="str">
        <f>IF(AND(J623=$I$2,F$23=0,NOT(E$23="")),IF(OR(AND(Y623=AA623,Z623=AB623),AND(Y623=AB623,Z623=AA623)),"",IF(AND(Y623=Z623,AA623=AB623),Y623&amp;" +2 v. "&amp;AA623&amp;" +2, ",IF(Y623=AA623,Z623&amp;" v. "&amp;AB623&amp;", ",IF(Z623=AB623,Y623&amp;" v. "&amp;AA623&amp;", ",IF(Y623=AB623,Z623&amp;" v. "&amp;AA623&amp;", ",IF(Z623=AA623,Y623&amp;" v. "&amp;AB623&amp;", ",Y623&amp;" v. "&amp;AA623&amp;", "&amp;Z623&amp;" v. "&amp;AB623&amp;", ")))))),"")</f>
        <v/>
      </c>
      <c r="J623" s="95">
        <f>D$23</f>
        <v>0</v>
      </c>
      <c r="K623" s="95" t="str">
        <f t="shared" si="231"/>
        <v>SR</v>
      </c>
      <c r="L623" s="95" t="str">
        <f t="shared" si="232"/>
        <v>0</v>
      </c>
      <c r="M623" s="95" t="str">
        <f t="shared" si="233"/>
        <v>0</v>
      </c>
      <c r="N623" s="95" t="str">
        <f t="shared" si="234"/>
        <v>0</v>
      </c>
      <c r="O623" s="95" t="str">
        <f t="shared" si="235"/>
        <v>0</v>
      </c>
      <c r="P623" s="95" t="str">
        <f t="shared" si="236"/>
        <v>0</v>
      </c>
      <c r="Q623" s="95">
        <f>IF(AND(G623=T$23,LEN(G623)&gt;1),1,0)</f>
        <v>0</v>
      </c>
      <c r="R623" s="97">
        <f>Doubles!G$23</f>
        <v>22</v>
      </c>
      <c r="S623" s="95">
        <f>IF(AND(H623=H$23,LEN(H623)&gt;1,Q623=1),1,0)</f>
        <v>0</v>
      </c>
      <c r="V623" s="97">
        <f>VLOOKUP(22,R602:S625,2,0)</f>
        <v>0</v>
      </c>
      <c r="W623" s="95" t="str">
        <f t="shared" si="237"/>
        <v/>
      </c>
      <c r="X623" s="95">
        <f>IF(F$23=0,IF(AND(G597=G649,NOT(G571=G597),NOT(G623=G649),LEN(W571)&gt;0),2,IF(LEN(W571)=0,0,1)),0)</f>
        <v>0</v>
      </c>
      <c r="AC623" s="95" t="str">
        <f>IF(AND(LEN(W623)&gt;0,F$23=0),IF(X623=2,W623&amp;" +2, ",W623&amp;", "),"")</f>
        <v/>
      </c>
    </row>
    <row r="624" spans="1:29">
      <c r="A624" s="95">
        <v>23</v>
      </c>
      <c r="B624" s="95">
        <f>IF(Doubles!G113="",0,Doubles!G113)</f>
        <v>0</v>
      </c>
      <c r="C624" s="99" t="str">
        <f>IF(OR(LEFT(B624,LEN(B$24))=B$24,LEFT(B624,LEN(C$24))=C$24,LEN(B624)&lt;2),"",IF(B624="no pick","","Wrong pick"))</f>
        <v/>
      </c>
      <c r="D624" s="95">
        <f t="shared" si="228"/>
        <v>0</v>
      </c>
      <c r="E624" s="95">
        <f t="shared" si="229"/>
        <v>0</v>
      </c>
      <c r="G624" s="95" t="str">
        <f>IF(B624=0,"",IF(B624="no pick","No Pick",IF(LEFT(B624,LEN(B$24))=B$24,B$24,C$24)))</f>
        <v/>
      </c>
      <c r="H624" s="95" t="str">
        <f t="shared" si="230"/>
        <v>0-0</v>
      </c>
      <c r="I624" s="95" t="str">
        <f>IF(AND(J624=$I$2,F$24=0,NOT(E$24="")),IF(OR(AND(Y624=AA624,Z624=AB624),AND(Y624=AB624,Z624=AA624)),"",IF(AND(Y624=Z624,AA624=AB624),Y624&amp;" +2 v. "&amp;AA624&amp;" +2, ",IF(Y624=AA624,Z624&amp;" v. "&amp;AB624&amp;", ",IF(Z624=AB624,Y624&amp;" v. "&amp;AA624&amp;", ",IF(Y624=AB624,Z624&amp;" v. "&amp;AA624&amp;", ",IF(Z624=AA624,Y624&amp;" v. "&amp;AB624&amp;", ",Y624&amp;" v. "&amp;AA624&amp;", "&amp;Z624&amp;" v. "&amp;AB624&amp;", ")))))),"")</f>
        <v/>
      </c>
      <c r="J624" s="95">
        <f>D$24</f>
        <v>0</v>
      </c>
      <c r="K624" s="95" t="str">
        <f t="shared" si="231"/>
        <v>SR</v>
      </c>
      <c r="L624" s="95" t="str">
        <f t="shared" si="232"/>
        <v>0</v>
      </c>
      <c r="M624" s="95" t="str">
        <f t="shared" si="233"/>
        <v>0</v>
      </c>
      <c r="N624" s="95" t="str">
        <f t="shared" si="234"/>
        <v>0</v>
      </c>
      <c r="O624" s="95" t="str">
        <f t="shared" si="235"/>
        <v>0</v>
      </c>
      <c r="P624" s="95" t="str">
        <f t="shared" si="236"/>
        <v>0</v>
      </c>
      <c r="Q624" s="95">
        <f>IF(AND(G624=T$24,LEN(G624)&gt;1),1,0)</f>
        <v>0</v>
      </c>
      <c r="R624" s="97">
        <f>Doubles!G$24</f>
        <v>23</v>
      </c>
      <c r="S624" s="95">
        <f>IF(AND(H624=H$24,LEN(H624)&gt;1,Q624=1),1,0)</f>
        <v>0</v>
      </c>
      <c r="V624" s="97">
        <f>VLOOKUP(23,R602:S625,2,0)</f>
        <v>0</v>
      </c>
      <c r="W624" s="95" t="str">
        <f t="shared" si="237"/>
        <v/>
      </c>
      <c r="X624" s="95">
        <f>IF(F$24=0,IF(AND(G598=G650,NOT(G572=G598),NOT(G624=G650),LEN(W572)&gt;0),2,IF(LEN(W572)=0,0,1)),0)</f>
        <v>0</v>
      </c>
      <c r="AC624" s="95" t="str">
        <f>IF(AND(LEN(W624)&gt;0,F$24=0),IF(X624=2,W624&amp;" +2, ",W624&amp;", "),"")</f>
        <v/>
      </c>
    </row>
    <row r="625" spans="1:29">
      <c r="A625" s="95">
        <v>24</v>
      </c>
      <c r="B625" s="95">
        <f>IF(Doubles!G114="",0,Doubles!G114)</f>
        <v>0</v>
      </c>
      <c r="C625" s="99" t="str">
        <f>IF(OR(LEFT(B625,LEN(B$25))=B$25,LEFT(B625,LEN(C$25))=C$25,LEN(B625)&lt;2),"",IF(B625="no pick","","Wrong pick"))</f>
        <v/>
      </c>
      <c r="D625" s="95">
        <f t="shared" si="228"/>
        <v>0</v>
      </c>
      <c r="E625" s="95">
        <f t="shared" si="229"/>
        <v>0</v>
      </c>
      <c r="G625" s="95" t="str">
        <f>IF(B625=0,"",IF(B625="no pick","No Pick",IF(LEFT(B625,LEN(B$25))=B$25,B$25,C$25)))</f>
        <v/>
      </c>
      <c r="H625" s="95" t="str">
        <f t="shared" si="230"/>
        <v>0-0</v>
      </c>
      <c r="I625" s="95" t="str">
        <f>IF(AND(J625=$I$2,F$25=0,NOT(E$25="")),IF(OR(AND(Y625=AA625,Z625=AB625),AND(Y625=AB625,Z625=AA625)),"",IF(AND(Y625=Z625,AA625=AB625),Y625&amp;" +2 v. "&amp;AA625&amp;" +2, ",IF(Y625=AA625,Z625&amp;" v. "&amp;AB625&amp;", ",IF(Z625=AB625,Y625&amp;" v. "&amp;AA625&amp;", ",IF(Y625=AB625,Z625&amp;" v. "&amp;AA625&amp;", ",IF(Z625=AA625,Y625&amp;" v. "&amp;AB625&amp;", ",Y625&amp;" v. "&amp;AA625&amp;", "&amp;Z625&amp;" v. "&amp;AB625&amp;", ")))))),"")</f>
        <v/>
      </c>
      <c r="J625" s="95">
        <f>D$25</f>
        <v>0</v>
      </c>
      <c r="K625" s="95" t="str">
        <f t="shared" si="231"/>
        <v>SR</v>
      </c>
      <c r="L625" s="95" t="str">
        <f t="shared" si="232"/>
        <v>0</v>
      </c>
      <c r="M625" s="95" t="str">
        <f t="shared" si="233"/>
        <v>0</v>
      </c>
      <c r="N625" s="95" t="str">
        <f t="shared" si="234"/>
        <v>0</v>
      </c>
      <c r="O625" s="95" t="str">
        <f t="shared" si="235"/>
        <v>0</v>
      </c>
      <c r="P625" s="95" t="str">
        <f t="shared" si="236"/>
        <v>0</v>
      </c>
      <c r="Q625" s="95">
        <f>IF(AND(G625=T$25,LEN(G625)&gt;1),1,0)</f>
        <v>0</v>
      </c>
      <c r="R625" s="97">
        <f>Doubles!G$25</f>
        <v>24</v>
      </c>
      <c r="S625" s="95">
        <f>IF(AND(H625=H$25,LEN(H625)&gt;1,Q625=1),1,0)</f>
        <v>0</v>
      </c>
      <c r="V625" s="97">
        <f>VLOOKUP(24,R602:S625,2,0)</f>
        <v>0</v>
      </c>
      <c r="W625" s="95" t="str">
        <f t="shared" si="237"/>
        <v/>
      </c>
      <c r="X625" s="95">
        <f>IF(F$25=0,IF(AND(G599=G651,NOT(G573=G599),NOT(G625=G651),LEN(W573)&gt;0),2,IF(LEN(W573)=0,0,1)),0)</f>
        <v>0</v>
      </c>
      <c r="AC625" s="95" t="str">
        <f>IF(AND(LEN(W625)&gt;0,F$25=0),IF(X625=2,W625&amp;" +2, ",W625&amp;", "),"")</f>
        <v/>
      </c>
    </row>
    <row r="627" spans="1:29">
      <c r="A627" s="95" t="e">
        <f>IF(LEN(VLOOKUP(B627,Doubles!$B$2:$D$17,3,0))&gt;0,VLOOKUP(B627,Doubles!$B$2:$D$17,3,0),"")</f>
        <v>#N/A</v>
      </c>
      <c r="B627" s="96">
        <f>Doubles!I90</f>
        <v>0</v>
      </c>
      <c r="C627" s="96">
        <v>4</v>
      </c>
      <c r="D627" s="95" t="e">
        <f>VLOOKUP(B627,Doubles!$B$2:$F$17,5,0)</f>
        <v>#N/A</v>
      </c>
      <c r="J627" s="95" t="s">
        <v>88</v>
      </c>
      <c r="Q627" s="95" t="s">
        <v>121</v>
      </c>
      <c r="S627" s="95" t="s">
        <v>122</v>
      </c>
      <c r="T627" s="95">
        <f>B627</f>
        <v>0</v>
      </c>
      <c r="V627" s="95" t="s">
        <v>122</v>
      </c>
    </row>
    <row r="628" spans="1:29">
      <c r="A628" s="95">
        <v>1</v>
      </c>
      <c r="B628" s="95">
        <f ca="1">IF(Doubles!I91="",0,Doubles!I91)</f>
        <v>0</v>
      </c>
      <c r="C628" s="99" t="str">
        <f ca="1">IF(OR(LEFT(B628,LEN(B$2))=B$2,LEFT(B628,LEN(C$2))=C$2,LEN(B628)&lt;2),"",IF(B628="no pick","","Wrong pick"))</f>
        <v/>
      </c>
      <c r="E628" s="95">
        <f t="shared" ref="E628:E651" ca="1" si="238">IF(AND($I$2=J628,B628=0),1,0)</f>
        <v>1</v>
      </c>
      <c r="F628" s="95" t="str">
        <f ca="1">IF(AND(SUM(E628:E651)=$I$4,NOT(B627="Bye")),"Missing picks from "&amp;B627&amp;" ","")</f>
        <v xml:space="preserve">Missing picks from 0 </v>
      </c>
      <c r="G628" s="95" t="str">
        <f ca="1">IF(B628=0,"",IF(B628="no pick","No Pick",IF(LEFT(B628,LEN(B$2))=B$2,B$2,C$2)))</f>
        <v/>
      </c>
      <c r="H628" s="95" t="str">
        <f t="shared" ref="H628:H651" ca="1" si="239">IF(L628="","",IF(K628="PTS",IF(LEN(O628)&lt;8,"2-0","2-1"),LEFT(O628,1)&amp;"-"&amp;RIGHT(O628,1)))</f>
        <v>0-0</v>
      </c>
      <c r="J628" s="97">
        <f>D$2</f>
        <v>1</v>
      </c>
      <c r="K628" s="95" t="str">
        <f t="shared" ref="K628:K651" ca="1" si="240">IF(LEN(L628)&gt;0,IF(LEN(O628)&lt;4,"SR","PTS"),"")</f>
        <v>SR</v>
      </c>
      <c r="L628" s="95" t="str">
        <f t="shared" ref="L628:L651" ca="1" si="241">TRIM(RIGHT(B628,LEN(B628)-LEN(G628)))</f>
        <v>0</v>
      </c>
      <c r="M628" s="95" t="str">
        <f t="shared" ref="M628:M651" ca="1" si="242">SUBSTITUTE(L628,"-","")</f>
        <v>0</v>
      </c>
      <c r="N628" s="95" t="str">
        <f t="shared" ref="N628:N651" ca="1" si="243">SUBSTITUTE(M628,","," ")</f>
        <v>0</v>
      </c>
      <c r="O628" s="95" t="str">
        <f t="shared" ref="O628:O651" ca="1" si="244">IF(AND(LEN(TRIM(SUBSTITUTE(P628,"/","")))&gt;6,OR(LEFT(TRIM(SUBSTITUTE(P628,"/","")),2)="20",LEFT(TRIM(SUBSTITUTE(P628,"/","")),2)="21")),RIGHT(TRIM(SUBSTITUTE(P628,"/","")),LEN(TRIM(SUBSTITUTE(P628,"/","")))-3),TRIM(SUBSTITUTE(P628,"/","")))</f>
        <v>0</v>
      </c>
      <c r="P628" s="95" t="str">
        <f t="shared" ref="P628:P651" ca="1" si="245">SUBSTITUTE(N628,":","")</f>
        <v>0</v>
      </c>
      <c r="Q628" s="95">
        <f ca="1">IF(AND(G628=T$2,LEN(G628)&gt;1),1,0)</f>
        <v>0</v>
      </c>
      <c r="R628" s="97">
        <f>Doubles!G$2</f>
        <v>1</v>
      </c>
      <c r="S628" s="95">
        <f ca="1">IF(AND(H628=H$2,LEN(H628)&gt;1,Q628=1),1,0)</f>
        <v>0</v>
      </c>
      <c r="V628" s="97">
        <f ca="1">VLOOKUP(1,R628:S651,2,0)</f>
        <v>0</v>
      </c>
      <c r="W628" s="95">
        <v>1</v>
      </c>
    </row>
    <row r="629" spans="1:29">
      <c r="A629" s="95">
        <v>2</v>
      </c>
      <c r="B629" s="95">
        <f ca="1">IF(Doubles!I92="",0,Doubles!I92)</f>
        <v>0</v>
      </c>
      <c r="C629" s="99" t="str">
        <f ca="1">IF(OR(LEFT(B629,LEN(B$3))=B$3,LEFT(B629,LEN(C$3))=C$3,LEN(B629)&lt;2),"",IF(B629="no pick","","Wrong pick"))</f>
        <v/>
      </c>
      <c r="E629" s="95">
        <f t="shared" ca="1" si="238"/>
        <v>1</v>
      </c>
      <c r="G629" s="95" t="str">
        <f ca="1">IF(B629=0,"",IF(B629="no pick","No Pick",IF(LEFT(B629,LEN(B$3))=B$3,B$3,C$3)))</f>
        <v/>
      </c>
      <c r="H629" s="95" t="str">
        <f t="shared" ca="1" si="239"/>
        <v>0-0</v>
      </c>
      <c r="J629" s="97">
        <f>D$3</f>
        <v>1</v>
      </c>
      <c r="K629" s="95" t="str">
        <f t="shared" ca="1" si="240"/>
        <v>SR</v>
      </c>
      <c r="L629" s="95" t="str">
        <f t="shared" ca="1" si="241"/>
        <v>0</v>
      </c>
      <c r="M629" s="95" t="str">
        <f t="shared" ca="1" si="242"/>
        <v>0</v>
      </c>
      <c r="N629" s="95" t="str">
        <f t="shared" ca="1" si="243"/>
        <v>0</v>
      </c>
      <c r="O629" s="95" t="str">
        <f t="shared" ca="1" si="244"/>
        <v>0</v>
      </c>
      <c r="P629" s="95" t="str">
        <f t="shared" ca="1" si="245"/>
        <v>0</v>
      </c>
      <c r="Q629" s="95">
        <f ca="1">IF(AND(G629=T$3,LEN(G629)&gt;1),1,0)</f>
        <v>0</v>
      </c>
      <c r="R629" s="97">
        <f>Doubles!G$3</f>
        <v>2</v>
      </c>
      <c r="S629" s="95">
        <f ca="1">IF(AND(H629=H$3,LEN(H629)&gt;1,Q629=1),1,0)</f>
        <v>0</v>
      </c>
      <c r="V629" s="97">
        <f ca="1">VLOOKUP(2,R628:S651,2,0)</f>
        <v>0</v>
      </c>
      <c r="W629" s="95">
        <v>2</v>
      </c>
    </row>
    <row r="630" spans="1:29">
      <c r="A630" s="95">
        <v>3</v>
      </c>
      <c r="B630" s="95">
        <f ca="1">IF(Doubles!I93="",0,Doubles!I93)</f>
        <v>0</v>
      </c>
      <c r="C630" s="99" t="str">
        <f ca="1">IF(OR(LEFT(B630,LEN(B$4))=B$4,LEFT(B630,LEN(C$4))=C$4,LEN(B630)&lt;2),"",IF(B630="no pick","","Wrong pick"))</f>
        <v/>
      </c>
      <c r="E630" s="95">
        <f t="shared" ca="1" si="238"/>
        <v>1</v>
      </c>
      <c r="G630" s="95" t="str">
        <f ca="1">IF(B630=0,"",IF(B630="no pick","No Pick",IF(LEFT(B630,LEN(B$4))=B$4,B$4,C$4)))</f>
        <v/>
      </c>
      <c r="H630" s="95" t="str">
        <f t="shared" ca="1" si="239"/>
        <v>0-0</v>
      </c>
      <c r="J630" s="97">
        <f>D$4</f>
        <v>1</v>
      </c>
      <c r="K630" s="95" t="str">
        <f t="shared" ca="1" si="240"/>
        <v>SR</v>
      </c>
      <c r="L630" s="95" t="str">
        <f t="shared" ca="1" si="241"/>
        <v>0</v>
      </c>
      <c r="M630" s="95" t="str">
        <f t="shared" ca="1" si="242"/>
        <v>0</v>
      </c>
      <c r="N630" s="95" t="str">
        <f t="shared" ca="1" si="243"/>
        <v>0</v>
      </c>
      <c r="O630" s="95" t="str">
        <f t="shared" ca="1" si="244"/>
        <v>0</v>
      </c>
      <c r="P630" s="95" t="str">
        <f t="shared" ca="1" si="245"/>
        <v>0</v>
      </c>
      <c r="Q630" s="95">
        <f ca="1">IF(AND(G630=T$4,LEN(G630)&gt;1),1,0)</f>
        <v>0</v>
      </c>
      <c r="R630" s="97">
        <f>Doubles!G$4</f>
        <v>3</v>
      </c>
      <c r="S630" s="95">
        <f ca="1">IF(AND(H630=H$4,LEN(H630)&gt;1,Q630=1),1,0)</f>
        <v>0</v>
      </c>
      <c r="V630" s="97">
        <f ca="1">VLOOKUP(3,R628:S651,2,0)</f>
        <v>0</v>
      </c>
      <c r="W630" s="95">
        <v>3</v>
      </c>
    </row>
    <row r="631" spans="1:29">
      <c r="A631" s="95">
        <v>4</v>
      </c>
      <c r="B631" s="95">
        <f ca="1">IF(Doubles!I94="",0,Doubles!I94)</f>
        <v>0</v>
      </c>
      <c r="C631" s="99" t="str">
        <f ca="1">IF(OR(LEFT(B631,LEN(B$5))=B$5,LEFT(B631,LEN(C$5))=C$5,LEN(B631)&lt;2),"",IF(B631="no pick","","Wrong pick"))</f>
        <v/>
      </c>
      <c r="E631" s="95">
        <f t="shared" ca="1" si="238"/>
        <v>1</v>
      </c>
      <c r="G631" s="95" t="str">
        <f ca="1">IF(B631=0,"",IF(B631="no pick","No Pick",IF(LEFT(B631,LEN(B$5))=B$5,B$5,C$5)))</f>
        <v/>
      </c>
      <c r="H631" s="95" t="str">
        <f t="shared" ca="1" si="239"/>
        <v>0-0</v>
      </c>
      <c r="J631" s="97">
        <f>D$5</f>
        <v>1</v>
      </c>
      <c r="K631" s="95" t="str">
        <f t="shared" ca="1" si="240"/>
        <v>SR</v>
      </c>
      <c r="L631" s="95" t="str">
        <f t="shared" ca="1" si="241"/>
        <v>0</v>
      </c>
      <c r="M631" s="95" t="str">
        <f t="shared" ca="1" si="242"/>
        <v>0</v>
      </c>
      <c r="N631" s="95" t="str">
        <f t="shared" ca="1" si="243"/>
        <v>0</v>
      </c>
      <c r="O631" s="95" t="str">
        <f t="shared" ca="1" si="244"/>
        <v>0</v>
      </c>
      <c r="P631" s="95" t="str">
        <f t="shared" ca="1" si="245"/>
        <v>0</v>
      </c>
      <c r="Q631" s="95">
        <f ca="1">IF(AND(G631=T$5,LEN(G631)&gt;1),1,0)</f>
        <v>0</v>
      </c>
      <c r="R631" s="97">
        <f>Doubles!G$5</f>
        <v>4</v>
      </c>
      <c r="S631" s="95">
        <f ca="1">IF(AND(H631=H$5,LEN(H631)&gt;1,Q631=1),1,0)</f>
        <v>0</v>
      </c>
      <c r="V631" s="97">
        <f ca="1">VLOOKUP(4,R628:S651,2,0)</f>
        <v>0</v>
      </c>
      <c r="W631" s="95">
        <v>4</v>
      </c>
    </row>
    <row r="632" spans="1:29">
      <c r="A632" s="95">
        <v>5</v>
      </c>
      <c r="B632" s="95">
        <f ca="1">IF(Doubles!I95="",0,Doubles!I95)</f>
        <v>0</v>
      </c>
      <c r="C632" s="99" t="str">
        <f ca="1">IF(OR(LEFT(B632,LEN(B$6))=B$6,LEFT(B632,LEN(C$6))=C$6,LEN(B632)&lt;2),"",IF(B632="no pick","","Wrong pick"))</f>
        <v/>
      </c>
      <c r="E632" s="95">
        <f t="shared" ca="1" si="238"/>
        <v>1</v>
      </c>
      <c r="G632" s="95" t="str">
        <f ca="1">IF(B632=0,"",IF(B632="no pick","No Pick",IF(LEFT(B632,LEN(B$6))=B$6,B$6,C$6)))</f>
        <v/>
      </c>
      <c r="H632" s="95" t="str">
        <f t="shared" ca="1" si="239"/>
        <v>0-0</v>
      </c>
      <c r="J632" s="97">
        <f>D$6</f>
        <v>1</v>
      </c>
      <c r="K632" s="95" t="str">
        <f t="shared" ca="1" si="240"/>
        <v>SR</v>
      </c>
      <c r="L632" s="95" t="str">
        <f t="shared" ca="1" si="241"/>
        <v>0</v>
      </c>
      <c r="M632" s="95" t="str">
        <f t="shared" ca="1" si="242"/>
        <v>0</v>
      </c>
      <c r="N632" s="95" t="str">
        <f t="shared" ca="1" si="243"/>
        <v>0</v>
      </c>
      <c r="O632" s="95" t="str">
        <f t="shared" ca="1" si="244"/>
        <v>0</v>
      </c>
      <c r="P632" s="95" t="str">
        <f t="shared" ca="1" si="245"/>
        <v>0</v>
      </c>
      <c r="Q632" s="95">
        <f ca="1">IF(AND(G632=T$6,LEN(G632)&gt;1),1,0)</f>
        <v>0</v>
      </c>
      <c r="R632" s="97">
        <f>Doubles!G$6</f>
        <v>5</v>
      </c>
      <c r="S632" s="95">
        <f ca="1">IF(AND(H632=H$6,LEN(H632)&gt;1,Q632=1),1,0)</f>
        <v>0</v>
      </c>
      <c r="V632" s="97">
        <f ca="1">VLOOKUP(5,R628:S651,2,0)</f>
        <v>0</v>
      </c>
      <c r="W632" s="95">
        <v>5</v>
      </c>
    </row>
    <row r="633" spans="1:29">
      <c r="A633" s="95">
        <v>6</v>
      </c>
      <c r="B633" s="95">
        <f ca="1">IF(Doubles!I96="",0,Doubles!I96)</f>
        <v>0</v>
      </c>
      <c r="C633" s="99" t="str">
        <f ca="1">IF(OR(LEFT(B633,LEN(B$7))=B$7,LEFT(B633,LEN(C$7))=C$7,LEN(B633)&lt;2),"",IF(B633="no pick","","Wrong pick"))</f>
        <v/>
      </c>
      <c r="E633" s="95">
        <f t="shared" ca="1" si="238"/>
        <v>1</v>
      </c>
      <c r="G633" s="95" t="str">
        <f ca="1">IF(B633=0,"",IF(B633="no pick","No Pick",IF(LEFT(B633,LEN(B$7))=B$7,B$7,C$7)))</f>
        <v/>
      </c>
      <c r="H633" s="95" t="str">
        <f t="shared" ca="1" si="239"/>
        <v>0-0</v>
      </c>
      <c r="J633" s="97">
        <f>D$7</f>
        <v>1</v>
      </c>
      <c r="K633" s="95" t="str">
        <f t="shared" ca="1" si="240"/>
        <v>SR</v>
      </c>
      <c r="L633" s="95" t="str">
        <f t="shared" ca="1" si="241"/>
        <v>0</v>
      </c>
      <c r="M633" s="95" t="str">
        <f t="shared" ca="1" si="242"/>
        <v>0</v>
      </c>
      <c r="N633" s="95" t="str">
        <f t="shared" ca="1" si="243"/>
        <v>0</v>
      </c>
      <c r="O633" s="95" t="str">
        <f t="shared" ca="1" si="244"/>
        <v>0</v>
      </c>
      <c r="P633" s="95" t="str">
        <f t="shared" ca="1" si="245"/>
        <v>0</v>
      </c>
      <c r="Q633" s="95">
        <f ca="1">IF(AND(G633=T$7,LEN(G633)&gt;1),1,0)</f>
        <v>0</v>
      </c>
      <c r="R633" s="97">
        <f>Doubles!G$7</f>
        <v>6</v>
      </c>
      <c r="S633" s="95">
        <f ca="1">IF(AND(H633=H$7,LEN(H633)&gt;1,Q633=1),1,0)</f>
        <v>0</v>
      </c>
      <c r="V633" s="97">
        <f ca="1">VLOOKUP(6,R628:S651,2,0)</f>
        <v>0</v>
      </c>
      <c r="W633" s="95">
        <v>6</v>
      </c>
    </row>
    <row r="634" spans="1:29">
      <c r="A634" s="95">
        <v>7</v>
      </c>
      <c r="B634" s="95">
        <f ca="1">IF(Doubles!I97="",0,Doubles!I97)</f>
        <v>0</v>
      </c>
      <c r="C634" s="99" t="str">
        <f ca="1">IF(OR(LEFT(B634,LEN(B$8))=B$8,LEFT(B634,LEN(C$8))=C$8,LEN(B634)&lt;2),"",IF(B634="no pick","","Wrong pick"))</f>
        <v/>
      </c>
      <c r="E634" s="95">
        <f t="shared" ca="1" si="238"/>
        <v>1</v>
      </c>
      <c r="G634" s="95" t="str">
        <f ca="1">IF(B634=0,"",IF(B634="no pick","No Pick",IF(LEFT(B634,LEN(B$8))=B$8,B$8,C$8)))</f>
        <v/>
      </c>
      <c r="H634" s="95" t="str">
        <f t="shared" ca="1" si="239"/>
        <v>0-0</v>
      </c>
      <c r="J634" s="97">
        <f>D$8</f>
        <v>1</v>
      </c>
      <c r="K634" s="95" t="str">
        <f t="shared" ca="1" si="240"/>
        <v>SR</v>
      </c>
      <c r="L634" s="95" t="str">
        <f t="shared" ca="1" si="241"/>
        <v>0</v>
      </c>
      <c r="M634" s="95" t="str">
        <f t="shared" ca="1" si="242"/>
        <v>0</v>
      </c>
      <c r="N634" s="95" t="str">
        <f t="shared" ca="1" si="243"/>
        <v>0</v>
      </c>
      <c r="O634" s="95" t="str">
        <f t="shared" ca="1" si="244"/>
        <v>0</v>
      </c>
      <c r="P634" s="95" t="str">
        <f t="shared" ca="1" si="245"/>
        <v>0</v>
      </c>
      <c r="Q634" s="95">
        <f ca="1">IF(AND(G634=T$8,LEN(G634)&gt;1),1,0)</f>
        <v>0</v>
      </c>
      <c r="R634" s="97">
        <f>Doubles!G$8</f>
        <v>7</v>
      </c>
      <c r="S634" s="95">
        <f ca="1">IF(AND(H634=H$8,LEN(H634)&gt;1,Q634=1),1,0)</f>
        <v>0</v>
      </c>
      <c r="V634" s="97">
        <f ca="1">VLOOKUP(7,R628:S651,2,0)</f>
        <v>0</v>
      </c>
      <c r="W634" s="95">
        <v>7</v>
      </c>
    </row>
    <row r="635" spans="1:29">
      <c r="A635" s="95">
        <v>8</v>
      </c>
      <c r="B635" s="95">
        <f ca="1">IF(Doubles!I98="",0,Doubles!I98)</f>
        <v>0</v>
      </c>
      <c r="C635" s="99" t="str">
        <f ca="1">IF(OR(LEFT(B635,LEN(B$9))=B$9,LEFT(B635,LEN(C$9))=C$9,LEN(B635)&lt;2),"",IF(B635="no pick","","Wrong pick"))</f>
        <v/>
      </c>
      <c r="E635" s="95">
        <f t="shared" ca="1" si="238"/>
        <v>1</v>
      </c>
      <c r="G635" s="95" t="str">
        <f ca="1">IF(B635=0,"",IF(B635="no pick","No Pick",IF(LEFT(B635,LEN(B$9))=B$9,B$9,C$9)))</f>
        <v/>
      </c>
      <c r="H635" s="95" t="str">
        <f t="shared" ca="1" si="239"/>
        <v>0-0</v>
      </c>
      <c r="J635" s="97">
        <f>D$9</f>
        <v>1</v>
      </c>
      <c r="K635" s="95" t="str">
        <f t="shared" ca="1" si="240"/>
        <v>SR</v>
      </c>
      <c r="L635" s="95" t="str">
        <f t="shared" ca="1" si="241"/>
        <v>0</v>
      </c>
      <c r="M635" s="95" t="str">
        <f t="shared" ca="1" si="242"/>
        <v>0</v>
      </c>
      <c r="N635" s="95" t="str">
        <f t="shared" ca="1" si="243"/>
        <v>0</v>
      </c>
      <c r="O635" s="95" t="str">
        <f t="shared" ca="1" si="244"/>
        <v>0</v>
      </c>
      <c r="P635" s="95" t="str">
        <f t="shared" ca="1" si="245"/>
        <v>0</v>
      </c>
      <c r="Q635" s="95">
        <f ca="1">IF(AND(G635=T$9,LEN(G635)&gt;1),1,0)</f>
        <v>0</v>
      </c>
      <c r="R635" s="97">
        <f>Doubles!G$9</f>
        <v>8</v>
      </c>
      <c r="S635" s="95">
        <f ca="1">IF(AND(H635=H$9,LEN(H635)&gt;1,Q635=1),1,0)</f>
        <v>0</v>
      </c>
      <c r="V635" s="97">
        <f ca="1">VLOOKUP(8,R628:S651,2,0)</f>
        <v>0</v>
      </c>
      <c r="W635" s="95">
        <v>8</v>
      </c>
    </row>
    <row r="636" spans="1:29">
      <c r="A636" s="95">
        <v>9</v>
      </c>
      <c r="B636" s="95">
        <f ca="1">IF(Doubles!I99="",0,Doubles!I99)</f>
        <v>0</v>
      </c>
      <c r="C636" s="99" t="str">
        <f ca="1">IF(OR(LEFT(B636,LEN(B$10))=B$10,LEFT(B636,LEN(C$10))=C$10,LEN(B636)&lt;2),"",IF(B636="no pick","","Wrong pick"))</f>
        <v/>
      </c>
      <c r="E636" s="95">
        <f t="shared" ca="1" si="238"/>
        <v>1</v>
      </c>
      <c r="G636" s="95" t="str">
        <f ca="1">IF(B636=0,"",IF(B636="no pick","No Pick",IF(LEFT(B636,LEN(B$10))=B$10,B$10,C$10)))</f>
        <v/>
      </c>
      <c r="H636" s="95" t="str">
        <f t="shared" ca="1" si="239"/>
        <v>0-0</v>
      </c>
      <c r="J636" s="97">
        <f>D$10</f>
        <v>1</v>
      </c>
      <c r="K636" s="95" t="str">
        <f t="shared" ca="1" si="240"/>
        <v>SR</v>
      </c>
      <c r="L636" s="95" t="str">
        <f t="shared" ca="1" si="241"/>
        <v>0</v>
      </c>
      <c r="M636" s="95" t="str">
        <f t="shared" ca="1" si="242"/>
        <v>0</v>
      </c>
      <c r="N636" s="95" t="str">
        <f t="shared" ca="1" si="243"/>
        <v>0</v>
      </c>
      <c r="O636" s="95" t="str">
        <f t="shared" ca="1" si="244"/>
        <v>0</v>
      </c>
      <c r="P636" s="95" t="str">
        <f t="shared" ca="1" si="245"/>
        <v>0</v>
      </c>
      <c r="Q636" s="95">
        <f ca="1">IF(AND(G636=T$10,LEN(G636)&gt;1),1,0)</f>
        <v>0</v>
      </c>
      <c r="R636" s="97">
        <f>Doubles!G$10</f>
        <v>9</v>
      </c>
      <c r="S636" s="95">
        <f ca="1">IF(AND(H636=H$10,LEN(H636)&gt;1,Q636=1),1,0)</f>
        <v>0</v>
      </c>
      <c r="V636" s="97">
        <f ca="1">VLOOKUP(9,R628:S651,2,0)</f>
        <v>0</v>
      </c>
      <c r="W636" s="95">
        <v>9</v>
      </c>
    </row>
    <row r="637" spans="1:29">
      <c r="A637" s="95">
        <v>10</v>
      </c>
      <c r="B637" s="95">
        <f ca="1">IF(Doubles!I100="",0,Doubles!I100)</f>
        <v>0</v>
      </c>
      <c r="C637" s="99" t="str">
        <f ca="1">IF(OR(LEFT(B637,LEN(B$11))=B$11,LEFT(B637,LEN(C$11))=C$11,LEN(B637)&lt;2),"",IF(B637="no pick","","Wrong pick"))</f>
        <v/>
      </c>
      <c r="E637" s="95">
        <f t="shared" ca="1" si="238"/>
        <v>1</v>
      </c>
      <c r="G637" s="95" t="str">
        <f ca="1">IF(B637=0,"",IF(B637="no pick","No Pick",IF(LEFT(B637,LEN(B$11))=B$11,B$11,C$11)))</f>
        <v/>
      </c>
      <c r="H637" s="95" t="str">
        <f t="shared" ca="1" si="239"/>
        <v>0-0</v>
      </c>
      <c r="J637" s="97">
        <f>D$11</f>
        <v>1</v>
      </c>
      <c r="K637" s="95" t="str">
        <f t="shared" ca="1" si="240"/>
        <v>SR</v>
      </c>
      <c r="L637" s="95" t="str">
        <f t="shared" ca="1" si="241"/>
        <v>0</v>
      </c>
      <c r="M637" s="95" t="str">
        <f t="shared" ca="1" si="242"/>
        <v>0</v>
      </c>
      <c r="N637" s="95" t="str">
        <f t="shared" ca="1" si="243"/>
        <v>0</v>
      </c>
      <c r="O637" s="95" t="str">
        <f t="shared" ca="1" si="244"/>
        <v>0</v>
      </c>
      <c r="P637" s="95" t="str">
        <f t="shared" ca="1" si="245"/>
        <v>0</v>
      </c>
      <c r="Q637" s="95">
        <f ca="1">IF(AND(G637=T$11,LEN(G637)&gt;1),1,0)</f>
        <v>0</v>
      </c>
      <c r="R637" s="97">
        <f>Doubles!G$11</f>
        <v>10</v>
      </c>
      <c r="S637" s="95">
        <f ca="1">IF(AND(H637=H$11,LEN(H637)&gt;1,Q637=1),1,0)</f>
        <v>0</v>
      </c>
      <c r="V637" s="97">
        <f ca="1">VLOOKUP(10,R628:S651,2,0)</f>
        <v>0</v>
      </c>
      <c r="W637" s="95">
        <v>10</v>
      </c>
    </row>
    <row r="638" spans="1:29">
      <c r="A638" s="95">
        <v>11</v>
      </c>
      <c r="B638" s="95">
        <f ca="1">IF(Doubles!I101="",0,Doubles!I101)</f>
        <v>0</v>
      </c>
      <c r="C638" s="99" t="str">
        <f ca="1">IF(OR(LEFT(B638,LEN(B$12))=B$12,LEFT(B638,LEN(C$12))=C$12,LEN(B638)&lt;2),"",IF(B638="no pick","","Wrong pick"))</f>
        <v/>
      </c>
      <c r="E638" s="95">
        <f t="shared" ca="1" si="238"/>
        <v>1</v>
      </c>
      <c r="G638" s="95" t="str">
        <f ca="1">IF(B638=0,"",IF(B638="no pick","No Pick",IF(LEFT(B638,LEN(B$12))=B$12,B$12,C$12)))</f>
        <v/>
      </c>
      <c r="H638" s="95" t="str">
        <f t="shared" ca="1" si="239"/>
        <v>0-0</v>
      </c>
      <c r="J638" s="97">
        <f>D$12</f>
        <v>1</v>
      </c>
      <c r="K638" s="95" t="str">
        <f t="shared" ca="1" si="240"/>
        <v>SR</v>
      </c>
      <c r="L638" s="95" t="str">
        <f t="shared" ca="1" si="241"/>
        <v>0</v>
      </c>
      <c r="M638" s="95" t="str">
        <f t="shared" ca="1" si="242"/>
        <v>0</v>
      </c>
      <c r="N638" s="95" t="str">
        <f t="shared" ca="1" si="243"/>
        <v>0</v>
      </c>
      <c r="O638" s="95" t="str">
        <f t="shared" ca="1" si="244"/>
        <v>0</v>
      </c>
      <c r="P638" s="95" t="str">
        <f t="shared" ca="1" si="245"/>
        <v>0</v>
      </c>
      <c r="Q638" s="95">
        <f ca="1">IF(AND(G638=T$12,LEN(G638)&gt;1),1,0)</f>
        <v>0</v>
      </c>
      <c r="R638" s="97">
        <f>Doubles!G$12</f>
        <v>11</v>
      </c>
      <c r="S638" s="95">
        <f ca="1">IF(AND(H638=H$12,LEN(H638)&gt;1,Q638=1),1,0)</f>
        <v>0</v>
      </c>
      <c r="V638" s="97">
        <f ca="1">VLOOKUP(11,R628:S651,2,0)</f>
        <v>0</v>
      </c>
      <c r="W638" s="95">
        <v>11</v>
      </c>
    </row>
    <row r="639" spans="1:29">
      <c r="A639" s="95">
        <v>12</v>
      </c>
      <c r="B639" s="95">
        <f ca="1">IF(Doubles!I102="",0,Doubles!I102)</f>
        <v>0</v>
      </c>
      <c r="C639" s="99" t="str">
        <f ca="1">IF(OR(LEFT(B639,LEN(B$13))=B$13,LEFT(B639,LEN(C$13))=C$13,LEN(B639)&lt;2),"",IF(B639="no pick","","Wrong pick"))</f>
        <v/>
      </c>
      <c r="E639" s="95">
        <f t="shared" ca="1" si="238"/>
        <v>1</v>
      </c>
      <c r="G639" s="95" t="str">
        <f ca="1">IF(B639=0,"",IF(B639="no pick","No Pick",IF(LEFT(B639,LEN(B$13))=B$13,B$13,C$13)))</f>
        <v/>
      </c>
      <c r="H639" s="95" t="str">
        <f t="shared" ca="1" si="239"/>
        <v>0-0</v>
      </c>
      <c r="J639" s="97">
        <f>D$13</f>
        <v>1</v>
      </c>
      <c r="K639" s="95" t="str">
        <f t="shared" ca="1" si="240"/>
        <v>SR</v>
      </c>
      <c r="L639" s="95" t="str">
        <f t="shared" ca="1" si="241"/>
        <v>0</v>
      </c>
      <c r="M639" s="95" t="str">
        <f t="shared" ca="1" si="242"/>
        <v>0</v>
      </c>
      <c r="N639" s="95" t="str">
        <f t="shared" ca="1" si="243"/>
        <v>0</v>
      </c>
      <c r="O639" s="95" t="str">
        <f t="shared" ca="1" si="244"/>
        <v>0</v>
      </c>
      <c r="P639" s="95" t="str">
        <f t="shared" ca="1" si="245"/>
        <v>0</v>
      </c>
      <c r="Q639" s="95">
        <f ca="1">IF(AND(G639=T$13,LEN(G639)&gt;1),1,0)</f>
        <v>0</v>
      </c>
      <c r="R639" s="97">
        <f>Doubles!G$13</f>
        <v>12</v>
      </c>
      <c r="S639" s="95">
        <f ca="1">IF(AND(H639=H$13,LEN(H639)&gt;1,Q639=1),1,0)</f>
        <v>0</v>
      </c>
      <c r="V639" s="97">
        <f ca="1">VLOOKUP(12,R628:S651,2,0)</f>
        <v>0</v>
      </c>
      <c r="W639" s="95">
        <v>12</v>
      </c>
    </row>
    <row r="640" spans="1:29">
      <c r="A640" s="95">
        <v>13</v>
      </c>
      <c r="B640" s="95">
        <f ca="1">IF(Doubles!I103="",0,Doubles!I103)</f>
        <v>0</v>
      </c>
      <c r="C640" s="99" t="str">
        <f ca="1">IF(OR(LEFT(B640,LEN(B$14))=B$14,LEFT(B640,LEN(C$14))=C$14,LEN(B640)&lt;2),"",IF(B640="no pick","","Wrong pick"))</f>
        <v/>
      </c>
      <c r="E640" s="95">
        <f t="shared" ca="1" si="238"/>
        <v>1</v>
      </c>
      <c r="G640" s="95" t="str">
        <f ca="1">IF(B640=0,"",IF(B640="no pick","No Pick",IF(LEFT(B640,LEN(B$14))=B$14,B$14,C$14)))</f>
        <v/>
      </c>
      <c r="H640" s="95" t="str">
        <f t="shared" ca="1" si="239"/>
        <v>0-0</v>
      </c>
      <c r="J640" s="97">
        <f>D$14</f>
        <v>1</v>
      </c>
      <c r="K640" s="95" t="str">
        <f t="shared" ca="1" si="240"/>
        <v>SR</v>
      </c>
      <c r="L640" s="95" t="str">
        <f t="shared" ca="1" si="241"/>
        <v>0</v>
      </c>
      <c r="M640" s="95" t="str">
        <f t="shared" ca="1" si="242"/>
        <v>0</v>
      </c>
      <c r="N640" s="95" t="str">
        <f t="shared" ca="1" si="243"/>
        <v>0</v>
      </c>
      <c r="O640" s="95" t="str">
        <f t="shared" ca="1" si="244"/>
        <v>0</v>
      </c>
      <c r="P640" s="95" t="str">
        <f t="shared" ca="1" si="245"/>
        <v>0</v>
      </c>
      <c r="Q640" s="95">
        <f ca="1">IF(AND(G640=T$14,LEN(G640)&gt;1),1,0)</f>
        <v>0</v>
      </c>
      <c r="R640" s="97">
        <f>Doubles!G$14</f>
        <v>13</v>
      </c>
      <c r="S640" s="95">
        <f ca="1">IF(AND(H640=H$14,LEN(H640)&gt;1,Q640=1),1,0)</f>
        <v>0</v>
      </c>
      <c r="V640" s="97">
        <f ca="1">VLOOKUP(13,R628:S651,2,0)</f>
        <v>0</v>
      </c>
      <c r="W640" s="95">
        <v>13</v>
      </c>
    </row>
    <row r="641" spans="1:29">
      <c r="A641" s="95">
        <v>14</v>
      </c>
      <c r="B641" s="95">
        <f ca="1">IF(Doubles!I104="",0,Doubles!I104)</f>
        <v>0</v>
      </c>
      <c r="C641" s="99" t="str">
        <f ca="1">IF(OR(LEFT(B641,LEN(B$15))=B$15,LEFT(B641,LEN(C$15))=C$15,LEN(B641)&lt;2),"",IF(B641="no pick","","Wrong pick"))</f>
        <v/>
      </c>
      <c r="E641" s="95">
        <f t="shared" ca="1" si="238"/>
        <v>1</v>
      </c>
      <c r="G641" s="95" t="str">
        <f ca="1">IF(B641=0,"",IF(B641="no pick","No Pick",IF(LEFT(B641,LEN(B$15))=B$15,B$15,C$15)))</f>
        <v/>
      </c>
      <c r="H641" s="95" t="str">
        <f t="shared" ca="1" si="239"/>
        <v>0-0</v>
      </c>
      <c r="J641" s="97">
        <f>D$15</f>
        <v>1</v>
      </c>
      <c r="K641" s="95" t="str">
        <f t="shared" ca="1" si="240"/>
        <v>SR</v>
      </c>
      <c r="L641" s="95" t="str">
        <f t="shared" ca="1" si="241"/>
        <v>0</v>
      </c>
      <c r="M641" s="95" t="str">
        <f t="shared" ca="1" si="242"/>
        <v>0</v>
      </c>
      <c r="N641" s="95" t="str">
        <f t="shared" ca="1" si="243"/>
        <v>0</v>
      </c>
      <c r="O641" s="95" t="str">
        <f t="shared" ca="1" si="244"/>
        <v>0</v>
      </c>
      <c r="P641" s="95" t="str">
        <f t="shared" ca="1" si="245"/>
        <v>0</v>
      </c>
      <c r="Q641" s="95">
        <f ca="1">IF(AND(G641=T$15,LEN(G641)&gt;1),1,0)</f>
        <v>0</v>
      </c>
      <c r="R641" s="97">
        <f>Doubles!G$15</f>
        <v>14</v>
      </c>
      <c r="S641" s="95">
        <f ca="1">IF(AND(H641=H$15,LEN(H641)&gt;1,Q641=1),1,0)</f>
        <v>0</v>
      </c>
      <c r="V641" s="97">
        <f ca="1">VLOOKUP(14,R628:S651,2,0)</f>
        <v>0</v>
      </c>
      <c r="W641" s="95">
        <v>14</v>
      </c>
    </row>
    <row r="642" spans="1:29">
      <c r="A642" s="95">
        <v>15</v>
      </c>
      <c r="B642" s="95">
        <f ca="1">IF(Doubles!I105="",0,Doubles!I105)</f>
        <v>0</v>
      </c>
      <c r="C642" s="99" t="str">
        <f ca="1">IF(OR(LEFT(B642,LEN(B$16))=B$16,LEFT(B642,LEN(C$16))=C$16,LEN(B642)&lt;2),"",IF(B642="no pick","","Wrong pick"))</f>
        <v/>
      </c>
      <c r="E642" s="95">
        <f t="shared" ca="1" si="238"/>
        <v>1</v>
      </c>
      <c r="G642" s="95" t="str">
        <f ca="1">IF(B642=0,"",IF(B642="no pick","No Pick",IF(LEFT(B642,LEN(B$16))=B$16,B$16,C$16)))</f>
        <v/>
      </c>
      <c r="H642" s="95" t="str">
        <f t="shared" ca="1" si="239"/>
        <v>0-0</v>
      </c>
      <c r="J642" s="97">
        <f>D$16</f>
        <v>1</v>
      </c>
      <c r="K642" s="95" t="str">
        <f t="shared" ca="1" si="240"/>
        <v>SR</v>
      </c>
      <c r="L642" s="95" t="str">
        <f t="shared" ca="1" si="241"/>
        <v>0</v>
      </c>
      <c r="M642" s="95" t="str">
        <f t="shared" ca="1" si="242"/>
        <v>0</v>
      </c>
      <c r="N642" s="95" t="str">
        <f t="shared" ca="1" si="243"/>
        <v>0</v>
      </c>
      <c r="O642" s="95" t="str">
        <f t="shared" ca="1" si="244"/>
        <v>0</v>
      </c>
      <c r="P642" s="95" t="str">
        <f t="shared" ca="1" si="245"/>
        <v>0</v>
      </c>
      <c r="Q642" s="95">
        <f ca="1">IF(AND(G642=T$16,LEN(G642)&gt;1),1,0)</f>
        <v>0</v>
      </c>
      <c r="R642" s="97">
        <f>Doubles!G$16</f>
        <v>15</v>
      </c>
      <c r="S642" s="95">
        <f ca="1">IF(AND(H642=H$16,LEN(H642)&gt;1,Q642=1),1,0)</f>
        <v>0</v>
      </c>
      <c r="V642" s="97">
        <f ca="1">VLOOKUP(15,R628:S651,2,0)</f>
        <v>0</v>
      </c>
      <c r="W642" s="95">
        <v>15</v>
      </c>
    </row>
    <row r="643" spans="1:29">
      <c r="A643" s="95">
        <v>16</v>
      </c>
      <c r="B643" s="95">
        <f ca="1">IF(Doubles!I106="",0,Doubles!I106)</f>
        <v>0</v>
      </c>
      <c r="C643" s="99" t="str">
        <f ca="1">IF(OR(LEFT(B643,LEN(B$17))=B$17,LEFT(B643,LEN(C$17))=C$17,LEN(B643)&lt;2),"",IF(B643="no pick","","Wrong pick"))</f>
        <v/>
      </c>
      <c r="E643" s="95">
        <f t="shared" ca="1" si="238"/>
        <v>1</v>
      </c>
      <c r="G643" s="95" t="str">
        <f ca="1">IF(B643=0,"",IF(B643="no pick","No Pick",IF(LEFT(B643,LEN(B$17))=B$17,B$17,C$17)))</f>
        <v/>
      </c>
      <c r="H643" s="95" t="str">
        <f t="shared" ca="1" si="239"/>
        <v>0-0</v>
      </c>
      <c r="J643" s="97">
        <f>D$17</f>
        <v>1</v>
      </c>
      <c r="K643" s="95" t="str">
        <f t="shared" ca="1" si="240"/>
        <v>SR</v>
      </c>
      <c r="L643" s="95" t="str">
        <f t="shared" ca="1" si="241"/>
        <v>0</v>
      </c>
      <c r="M643" s="95" t="str">
        <f t="shared" ca="1" si="242"/>
        <v>0</v>
      </c>
      <c r="N643" s="95" t="str">
        <f t="shared" ca="1" si="243"/>
        <v>0</v>
      </c>
      <c r="O643" s="95" t="str">
        <f t="shared" ca="1" si="244"/>
        <v>0</v>
      </c>
      <c r="P643" s="95" t="str">
        <f t="shared" ca="1" si="245"/>
        <v>0</v>
      </c>
      <c r="Q643" s="95">
        <f ca="1">IF(AND(G643=T$17,LEN(G643)&gt;1),1,0)</f>
        <v>0</v>
      </c>
      <c r="R643" s="97">
        <f>Doubles!G$17</f>
        <v>16</v>
      </c>
      <c r="S643" s="95">
        <f ca="1">IF(AND(H643=H$17,LEN(H643)&gt;1,Q643=1),1,0)</f>
        <v>0</v>
      </c>
      <c r="V643" s="97">
        <f ca="1">VLOOKUP(16,R628:S651,2,0)</f>
        <v>0</v>
      </c>
      <c r="W643" s="95">
        <v>16</v>
      </c>
    </row>
    <row r="644" spans="1:29">
      <c r="A644" s="95">
        <v>17</v>
      </c>
      <c r="B644" s="95">
        <f>IF(Doubles!I107="",0,Doubles!I107)</f>
        <v>0</v>
      </c>
      <c r="C644" s="99" t="str">
        <f>IF(OR(LEFT(B644,LEN(B$18))=B$18,LEFT(B644,LEN(C$18))=C$18,LEN(B644)&lt;2),"",IF(B644="no pick","","Wrong pick"))</f>
        <v/>
      </c>
      <c r="E644" s="95">
        <f t="shared" si="238"/>
        <v>0</v>
      </c>
      <c r="G644" s="95" t="str">
        <f>IF(B644=0,"",IF(B644="no pick","No Pick",IF(LEFT(B644,LEN(B$18))=B$18,B$18,C$18)))</f>
        <v/>
      </c>
      <c r="H644" s="95" t="str">
        <f t="shared" si="239"/>
        <v>0-0</v>
      </c>
      <c r="J644" s="95">
        <f>D$18</f>
        <v>0</v>
      </c>
      <c r="K644" s="95" t="str">
        <f t="shared" si="240"/>
        <v>SR</v>
      </c>
      <c r="L644" s="95" t="str">
        <f t="shared" si="241"/>
        <v>0</v>
      </c>
      <c r="M644" s="95" t="str">
        <f t="shared" si="242"/>
        <v>0</v>
      </c>
      <c r="N644" s="95" t="str">
        <f t="shared" si="243"/>
        <v>0</v>
      </c>
      <c r="O644" s="95" t="str">
        <f t="shared" si="244"/>
        <v>0</v>
      </c>
      <c r="P644" s="95" t="str">
        <f t="shared" si="245"/>
        <v>0</v>
      </c>
      <c r="Q644" s="95">
        <f>IF(AND(G644=T$18,LEN(G644)&gt;1),1,0)</f>
        <v>0</v>
      </c>
      <c r="R644" s="97">
        <f>Doubles!G$18</f>
        <v>17</v>
      </c>
      <c r="S644" s="95">
        <f>IF(AND(H644=H$18,LEN(H644)&gt;1,Q644=1),1,0)</f>
        <v>0</v>
      </c>
      <c r="V644" s="97">
        <f>VLOOKUP(17,R628:S651,2,0)</f>
        <v>0</v>
      </c>
      <c r="W644" s="95">
        <v>17</v>
      </c>
    </row>
    <row r="645" spans="1:29">
      <c r="A645" s="95">
        <v>18</v>
      </c>
      <c r="B645" s="95">
        <f>IF(Doubles!I108="",0,Doubles!I108)</f>
        <v>0</v>
      </c>
      <c r="C645" s="99" t="str">
        <f>IF(OR(LEFT(B645,LEN(B$19))=B$19,LEFT(B645,LEN(C$19))=C$19,LEN(B645)&lt;2),"",IF(B645="no pick","","Wrong pick"))</f>
        <v/>
      </c>
      <c r="E645" s="95">
        <f t="shared" si="238"/>
        <v>0</v>
      </c>
      <c r="G645" s="95" t="str">
        <f>IF(B645=0,"",IF(B645="no pick","No Pick",IF(LEFT(B645,LEN(B$19))=B$19,B$19,C$19)))</f>
        <v/>
      </c>
      <c r="H645" s="95" t="str">
        <f t="shared" si="239"/>
        <v>0-0</v>
      </c>
      <c r="J645" s="95">
        <f>D$19</f>
        <v>0</v>
      </c>
      <c r="K645" s="95" t="str">
        <f t="shared" si="240"/>
        <v>SR</v>
      </c>
      <c r="L645" s="95" t="str">
        <f t="shared" si="241"/>
        <v>0</v>
      </c>
      <c r="M645" s="95" t="str">
        <f t="shared" si="242"/>
        <v>0</v>
      </c>
      <c r="N645" s="95" t="str">
        <f t="shared" si="243"/>
        <v>0</v>
      </c>
      <c r="O645" s="95" t="str">
        <f t="shared" si="244"/>
        <v>0</v>
      </c>
      <c r="P645" s="95" t="str">
        <f t="shared" si="245"/>
        <v>0</v>
      </c>
      <c r="Q645" s="95">
        <f>IF(AND(G645=T$19,LEN(G645)&gt;1),1,0)</f>
        <v>0</v>
      </c>
      <c r="R645" s="97">
        <f>Doubles!G$19</f>
        <v>18</v>
      </c>
      <c r="S645" s="95">
        <f>IF(AND(H645=H$19,LEN(H645)&gt;1,Q645=1),1,0)</f>
        <v>0</v>
      </c>
      <c r="V645" s="97">
        <f>VLOOKUP(18,R628:S651,2,0)</f>
        <v>0</v>
      </c>
      <c r="W645" s="95">
        <v>18</v>
      </c>
    </row>
    <row r="646" spans="1:29">
      <c r="A646" s="95">
        <v>19</v>
      </c>
      <c r="B646" s="95">
        <f>IF(Doubles!I109="",0,Doubles!I109)</f>
        <v>0</v>
      </c>
      <c r="C646" s="99" t="str">
        <f>IF(OR(LEFT(B646,LEN(B$20))=B$20,LEFT(B646,LEN(C$20))=C$20,LEN(B646)&lt;2),"",IF(B646="no pick","","Wrong pick"))</f>
        <v/>
      </c>
      <c r="E646" s="95">
        <f t="shared" si="238"/>
        <v>0</v>
      </c>
      <c r="G646" s="95" t="str">
        <f>IF(B646=0,"",IF(B646="no pick","No Pick",IF(LEFT(B646,LEN(B$20))=B$20,B$20,C$20)))</f>
        <v/>
      </c>
      <c r="H646" s="95" t="str">
        <f t="shared" si="239"/>
        <v>0-0</v>
      </c>
      <c r="J646" s="95">
        <f>D$20</f>
        <v>0</v>
      </c>
      <c r="K646" s="95" t="str">
        <f t="shared" si="240"/>
        <v>SR</v>
      </c>
      <c r="L646" s="95" t="str">
        <f t="shared" si="241"/>
        <v>0</v>
      </c>
      <c r="M646" s="95" t="str">
        <f t="shared" si="242"/>
        <v>0</v>
      </c>
      <c r="N646" s="95" t="str">
        <f t="shared" si="243"/>
        <v>0</v>
      </c>
      <c r="O646" s="95" t="str">
        <f t="shared" si="244"/>
        <v>0</v>
      </c>
      <c r="P646" s="95" t="str">
        <f t="shared" si="245"/>
        <v>0</v>
      </c>
      <c r="Q646" s="95">
        <f>IF(AND(G646=T$20,LEN(G646)&gt;1),1,0)</f>
        <v>0</v>
      </c>
      <c r="R646" s="97">
        <f>Doubles!G$20</f>
        <v>19</v>
      </c>
      <c r="S646" s="95">
        <f>IF(AND(H646=H$20,LEN(H646)&gt;1,Q646=1),1,0)</f>
        <v>0</v>
      </c>
      <c r="V646" s="97">
        <f>VLOOKUP(19,R628:S651,2,0)</f>
        <v>0</v>
      </c>
      <c r="W646" s="95">
        <v>19</v>
      </c>
    </row>
    <row r="647" spans="1:29">
      <c r="A647" s="95">
        <v>20</v>
      </c>
      <c r="B647" s="95">
        <f>IF(Doubles!I110="",0,Doubles!I110)</f>
        <v>0</v>
      </c>
      <c r="C647" s="99" t="str">
        <f>IF(OR(LEFT(B647,LEN(B$21))=B$21,LEFT(B647,LEN(C$21))=C$21,LEN(B647)&lt;2),"",IF(B647="no pick","","Wrong pick"))</f>
        <v/>
      </c>
      <c r="E647" s="95">
        <f t="shared" si="238"/>
        <v>0</v>
      </c>
      <c r="G647" s="95" t="str">
        <f>IF(B647=0,"",IF(B647="no pick","No Pick",IF(LEFT(B647,LEN(B$21))=B$21,B$21,C$21)))</f>
        <v/>
      </c>
      <c r="H647" s="95" t="str">
        <f t="shared" si="239"/>
        <v>0-0</v>
      </c>
      <c r="J647" s="95">
        <f>D$21</f>
        <v>0</v>
      </c>
      <c r="K647" s="95" t="str">
        <f t="shared" si="240"/>
        <v>SR</v>
      </c>
      <c r="L647" s="95" t="str">
        <f t="shared" si="241"/>
        <v>0</v>
      </c>
      <c r="M647" s="95" t="str">
        <f t="shared" si="242"/>
        <v>0</v>
      </c>
      <c r="N647" s="95" t="str">
        <f t="shared" si="243"/>
        <v>0</v>
      </c>
      <c r="O647" s="95" t="str">
        <f t="shared" si="244"/>
        <v>0</v>
      </c>
      <c r="P647" s="95" t="str">
        <f t="shared" si="245"/>
        <v>0</v>
      </c>
      <c r="Q647" s="95">
        <f>IF(AND(G647=T$21,LEN(G647)&gt;1),1,0)</f>
        <v>0</v>
      </c>
      <c r="R647" s="97">
        <f>Doubles!G$21</f>
        <v>20</v>
      </c>
      <c r="S647" s="95">
        <f>IF(AND(H647=H$21,LEN(H647)&gt;1,Q647=1),1,0)</f>
        <v>0</v>
      </c>
      <c r="V647" s="97">
        <f>VLOOKUP(20,R628:S651,2,0)</f>
        <v>0</v>
      </c>
      <c r="W647" s="95">
        <v>20</v>
      </c>
    </row>
    <row r="648" spans="1:29">
      <c r="A648" s="95">
        <v>21</v>
      </c>
      <c r="B648" s="95">
        <f>IF(Doubles!I111="",0,Doubles!I111)</f>
        <v>0</v>
      </c>
      <c r="C648" s="99" t="str">
        <f>IF(OR(LEFT(B648,LEN(B$22))=B$22,LEFT(B648,LEN(C$22))=C$22,LEN(B648)&lt;2),"",IF(B648="no pick","","Wrong pick"))</f>
        <v/>
      </c>
      <c r="E648" s="95">
        <f t="shared" si="238"/>
        <v>0</v>
      </c>
      <c r="G648" s="95" t="str">
        <f>IF(B648=0,"",IF(B648="no pick","No Pick",IF(LEFT(B648,LEN(B$22))=B$22,B$22,C$22)))</f>
        <v/>
      </c>
      <c r="H648" s="95" t="str">
        <f t="shared" si="239"/>
        <v>0-0</v>
      </c>
      <c r="J648" s="95">
        <f>D$22</f>
        <v>0</v>
      </c>
      <c r="K648" s="95" t="str">
        <f t="shared" si="240"/>
        <v>SR</v>
      </c>
      <c r="L648" s="95" t="str">
        <f t="shared" si="241"/>
        <v>0</v>
      </c>
      <c r="M648" s="95" t="str">
        <f t="shared" si="242"/>
        <v>0</v>
      </c>
      <c r="N648" s="95" t="str">
        <f t="shared" si="243"/>
        <v>0</v>
      </c>
      <c r="O648" s="95" t="str">
        <f t="shared" si="244"/>
        <v>0</v>
      </c>
      <c r="P648" s="95" t="str">
        <f t="shared" si="245"/>
        <v>0</v>
      </c>
      <c r="Q648" s="95">
        <f>IF(AND(G648=T$22,LEN(G648)&gt;1),1,0)</f>
        <v>0</v>
      </c>
      <c r="R648" s="97">
        <f>Doubles!G$22</f>
        <v>21</v>
      </c>
      <c r="S648" s="95">
        <f>IF(AND(H648=H$22,LEN(H648)&gt;1,Q648=1),1,0)</f>
        <v>0</v>
      </c>
      <c r="V648" s="97">
        <f>VLOOKUP(21,R628:S651,2,0)</f>
        <v>0</v>
      </c>
      <c r="W648" s="95">
        <v>21</v>
      </c>
    </row>
    <row r="649" spans="1:29">
      <c r="A649" s="95">
        <v>22</v>
      </c>
      <c r="B649" s="95">
        <f>IF(Doubles!I112="",0,Doubles!I112)</f>
        <v>0</v>
      </c>
      <c r="C649" s="99" t="str">
        <f>IF(OR(LEFT(B649,LEN(B$23))=B$23,LEFT(B649,LEN(C$23))=C$23,LEN(B649)&lt;2),"",IF(B649="no pick","","Wrong pick"))</f>
        <v/>
      </c>
      <c r="E649" s="95">
        <f t="shared" si="238"/>
        <v>0</v>
      </c>
      <c r="G649" s="95" t="str">
        <f>IF(B649=0,"",IF(B649="no pick","No Pick",IF(LEFT(B649,LEN(B$23))=B$23,B$23,C$23)))</f>
        <v/>
      </c>
      <c r="H649" s="95" t="str">
        <f t="shared" si="239"/>
        <v>0-0</v>
      </c>
      <c r="J649" s="95">
        <f>D$23</f>
        <v>0</v>
      </c>
      <c r="K649" s="95" t="str">
        <f t="shared" si="240"/>
        <v>SR</v>
      </c>
      <c r="L649" s="95" t="str">
        <f t="shared" si="241"/>
        <v>0</v>
      </c>
      <c r="M649" s="95" t="str">
        <f t="shared" si="242"/>
        <v>0</v>
      </c>
      <c r="N649" s="95" t="str">
        <f t="shared" si="243"/>
        <v>0</v>
      </c>
      <c r="O649" s="95" t="str">
        <f t="shared" si="244"/>
        <v>0</v>
      </c>
      <c r="P649" s="95" t="str">
        <f t="shared" si="245"/>
        <v>0</v>
      </c>
      <c r="Q649" s="95">
        <f>IF(AND(G649=T$23,LEN(G649)&gt;1),1,0)</f>
        <v>0</v>
      </c>
      <c r="R649" s="97">
        <f>Doubles!G$23</f>
        <v>22</v>
      </c>
      <c r="S649" s="95">
        <f>IF(AND(H649=H$23,LEN(H649)&gt;1,Q649=1),1,0)</f>
        <v>0</v>
      </c>
      <c r="V649" s="97">
        <f>VLOOKUP(22,R628:S651,2,0)</f>
        <v>0</v>
      </c>
      <c r="W649" s="95">
        <v>22</v>
      </c>
    </row>
    <row r="650" spans="1:29">
      <c r="A650" s="95">
        <v>23</v>
      </c>
      <c r="B650" s="95">
        <f>IF(Doubles!I113="",0,Doubles!I113)</f>
        <v>0</v>
      </c>
      <c r="C650" s="99" t="str">
        <f>IF(OR(LEFT(B650,LEN(B$24))=B$24,LEFT(B650,LEN(C$24))=C$24,LEN(B650)&lt;2),"",IF(B650="no pick","","Wrong pick"))</f>
        <v/>
      </c>
      <c r="E650" s="95">
        <f t="shared" si="238"/>
        <v>0</v>
      </c>
      <c r="G650" s="95" t="str">
        <f>IF(B650=0,"",IF(B650="no pick","No Pick",IF(LEFT(B650,LEN(B$24))=B$24,B$24,C$24)))</f>
        <v/>
      </c>
      <c r="H650" s="95" t="str">
        <f t="shared" si="239"/>
        <v>0-0</v>
      </c>
      <c r="J650" s="95">
        <f>D$24</f>
        <v>0</v>
      </c>
      <c r="K650" s="95" t="str">
        <f t="shared" si="240"/>
        <v>SR</v>
      </c>
      <c r="L650" s="95" t="str">
        <f t="shared" si="241"/>
        <v>0</v>
      </c>
      <c r="M650" s="95" t="str">
        <f t="shared" si="242"/>
        <v>0</v>
      </c>
      <c r="N650" s="95" t="str">
        <f t="shared" si="243"/>
        <v>0</v>
      </c>
      <c r="O650" s="95" t="str">
        <f t="shared" si="244"/>
        <v>0</v>
      </c>
      <c r="P650" s="95" t="str">
        <f t="shared" si="245"/>
        <v>0</v>
      </c>
      <c r="Q650" s="95">
        <f>IF(AND(G650=T$24,LEN(G650)&gt;1),1,0)</f>
        <v>0</v>
      </c>
      <c r="R650" s="97">
        <f>Doubles!G$24</f>
        <v>23</v>
      </c>
      <c r="S650" s="95">
        <f>IF(AND(H650=H$24,LEN(H650)&gt;1,Q650=1),1,0)</f>
        <v>0</v>
      </c>
      <c r="V650" s="97">
        <f>VLOOKUP(23,R628:S651,2,0)</f>
        <v>0</v>
      </c>
      <c r="W650" s="95">
        <v>23</v>
      </c>
    </row>
    <row r="651" spans="1:29">
      <c r="A651" s="95">
        <v>24</v>
      </c>
      <c r="B651" s="95">
        <f>IF(Doubles!I114="",0,Doubles!I114)</f>
        <v>0</v>
      </c>
      <c r="C651" s="99" t="str">
        <f>IF(OR(LEFT(B651,LEN(B$25))=B$25,LEFT(B651,LEN(C$25))=C$25,LEN(B651)&lt;2),"",IF(B651="no pick","","Wrong pick"))</f>
        <v/>
      </c>
      <c r="E651" s="95">
        <f t="shared" si="238"/>
        <v>0</v>
      </c>
      <c r="G651" s="95" t="str">
        <f>IF(B651=0,"",IF(B651="no pick","No Pick",IF(LEFT(B651,LEN(B$25))=B$25,B$25,C$25)))</f>
        <v/>
      </c>
      <c r="H651" s="95" t="str">
        <f t="shared" si="239"/>
        <v>0-0</v>
      </c>
      <c r="J651" s="95">
        <f>D$25</f>
        <v>0</v>
      </c>
      <c r="K651" s="95" t="str">
        <f t="shared" si="240"/>
        <v>SR</v>
      </c>
      <c r="L651" s="95" t="str">
        <f t="shared" si="241"/>
        <v>0</v>
      </c>
      <c r="M651" s="95" t="str">
        <f t="shared" si="242"/>
        <v>0</v>
      </c>
      <c r="N651" s="95" t="str">
        <f t="shared" si="243"/>
        <v>0</v>
      </c>
      <c r="O651" s="95" t="str">
        <f t="shared" si="244"/>
        <v>0</v>
      </c>
      <c r="P651" s="95" t="str">
        <f t="shared" si="245"/>
        <v>0</v>
      </c>
      <c r="Q651" s="95">
        <f>IF(AND(G651=T$25,LEN(G651)&gt;1),1,0)</f>
        <v>0</v>
      </c>
      <c r="R651" s="97">
        <f>Doubles!G$25</f>
        <v>24</v>
      </c>
      <c r="S651" s="95">
        <f>IF(AND(H651=H$25,LEN(H651)&gt;1,Q651=1),1,0)</f>
        <v>0</v>
      </c>
      <c r="V651" s="97">
        <f>VLOOKUP(24,R628:S651,2,0)</f>
        <v>0</v>
      </c>
      <c r="W651" s="95">
        <v>24</v>
      </c>
    </row>
    <row r="652" spans="1:29">
      <c r="A652" s="106"/>
      <c r="B652" s="106"/>
      <c r="C652" s="107"/>
      <c r="D652" s="106"/>
      <c r="E652" s="106"/>
      <c r="Q652" s="106"/>
      <c r="R652" s="106"/>
      <c r="S652" s="106"/>
      <c r="W652" s="95">
        <v>25</v>
      </c>
    </row>
    <row r="653" spans="1:29">
      <c r="A653" s="95" t="e">
        <f>IF(LEN(VLOOKUP(B653,Doubles!$A$2:$D$17,4,0))&gt;0,VLOOKUP(B653,Doubles!$A$2:$D$17,4,0),"")</f>
        <v>#N/A</v>
      </c>
      <c r="B653" s="96">
        <f>Doubles!J90</f>
        <v>0</v>
      </c>
      <c r="C653" s="96">
        <v>1</v>
      </c>
      <c r="D653" s="95" t="e">
        <f>VLOOKUP(B653,Doubles!$A$2:$E$17,5,0)</f>
        <v>#N/A</v>
      </c>
      <c r="E653" s="95" t="s">
        <v>124</v>
      </c>
      <c r="J653" s="95" t="s">
        <v>88</v>
      </c>
      <c r="Q653" s="95" t="s">
        <v>121</v>
      </c>
      <c r="S653" s="95" t="s">
        <v>122</v>
      </c>
      <c r="T653" s="95" t="e">
        <f>IF(LEN(A653)&gt;0,"("&amp;A653&amp;") "&amp;B653,B653)</f>
        <v>#N/A</v>
      </c>
      <c r="V653" s="95" t="s">
        <v>122</v>
      </c>
      <c r="W653" s="95" t="str">
        <f>""</f>
        <v/>
      </c>
    </row>
    <row r="654" spans="1:29">
      <c r="A654" s="95">
        <v>1</v>
      </c>
      <c r="B654" s="95">
        <f ca="1">IF(Doubles!J91="",0,Doubles!J91)</f>
        <v>0</v>
      </c>
      <c r="C654" s="99" t="str">
        <f ca="1">IF(OR(LEFT(B654,LEN(B$2))=B$2,LEFT(B654,LEN(C$2))=C$2,LEN(B654)&lt;2),"",IF(B654="no pick","","Wrong pick"))</f>
        <v/>
      </c>
      <c r="D654" s="95">
        <f t="shared" ref="D654:D677" ca="1" si="246">IF(G654=G680,0,1)</f>
        <v>0</v>
      </c>
      <c r="E654" s="95">
        <f t="shared" ref="E654:E677" ca="1" si="247">IF(AND($I$2=J654,B654=0),1,0)</f>
        <v>1</v>
      </c>
      <c r="F654" s="95" t="str">
        <f ca="1">IF(AND(SUM(E654:E677)=$I$4,NOT(B653="Bye")),"Missing picks from "&amp;B653&amp;" ","")</f>
        <v xml:space="preserve">Missing picks from 0 </v>
      </c>
      <c r="G654" s="95" t="str">
        <f ca="1">IF(B654=0,"",IF(B654="no pick","No Pick",IF(LEFT(B654,LEN(B$2))=B$2,B$2,C$2)))</f>
        <v/>
      </c>
      <c r="H654" s="95" t="str">
        <f t="shared" ref="H654:H677" ca="1" si="248">IF(L654="","",IF(K654="PTS",IF(LEN(O654)&lt;8,"2-0","2-1"),LEFT(O654,1)&amp;"-"&amp;RIGHT(O654,1)))</f>
        <v>0-0</v>
      </c>
      <c r="I654" s="95" t="str">
        <f ca="1">IF(AND(J654=$I$2,F$2=0,NOT(E$2="")),IF(OR(AND(Y654=AA654,Z654=AB654),AND(Y654=AB654,Z654=AA654)),"",IF(AND(Y654=Z654,AA654=AB654),Y654&amp;" +2 v. "&amp;AA654&amp;" +2, ",IF(Y654=AA654,Z654&amp;" v. "&amp;AB654&amp;", ",IF(Z654=AB654,Y654&amp;" v. "&amp;AA654&amp;", ",IF(Y654=AB654,Z654&amp;" v. "&amp;AA654&amp;", ",IF(Z654=AA654,Y654&amp;" v. "&amp;AB654&amp;", ",Y654&amp;" v. "&amp;AA654&amp;", "&amp;Z654&amp;" v. "&amp;AB654&amp;", ")))))),"")</f>
        <v/>
      </c>
      <c r="J654" s="97">
        <f>D$2</f>
        <v>1</v>
      </c>
      <c r="K654" s="95" t="str">
        <f t="shared" ref="K654:K677" ca="1" si="249">IF(LEN(L654)&gt;0,IF(LEN(O654)&lt;4,"SR","PTS"),"")</f>
        <v>SR</v>
      </c>
      <c r="L654" s="95" t="str">
        <f t="shared" ref="L654:L677" ca="1" si="250">TRIM(RIGHT(B654,LEN(B654)-LEN(G654)))</f>
        <v>0</v>
      </c>
      <c r="M654" s="95" t="str">
        <f t="shared" ref="M654:M677" ca="1" si="251">SUBSTITUTE(L654,"-","")</f>
        <v>0</v>
      </c>
      <c r="N654" s="95" t="str">
        <f t="shared" ref="N654:N677" ca="1" si="252">SUBSTITUTE(M654,","," ")</f>
        <v>0</v>
      </c>
      <c r="O654" s="95" t="str">
        <f t="shared" ref="O654:O677" ca="1" si="253">IF(AND(LEN(TRIM(SUBSTITUTE(P654,"/","")))&gt;6,OR(LEFT(TRIM(SUBSTITUTE(P654,"/","")),2)="20",LEFT(TRIM(SUBSTITUTE(P654,"/","")),2)="21")),RIGHT(TRIM(SUBSTITUTE(P654,"/","")),LEN(TRIM(SUBSTITUTE(P654,"/","")))-3),TRIM(SUBSTITUTE(P654,"/","")))</f>
        <v>0</v>
      </c>
      <c r="P654" s="95" t="str">
        <f t="shared" ref="P654:P677" ca="1" si="254">SUBSTITUTE(N654,":","")</f>
        <v>0</v>
      </c>
      <c r="Q654" s="95">
        <f ca="1">IF(AND(G654=T$2,LEN(G654)&gt;1),1,0)</f>
        <v>0</v>
      </c>
      <c r="R654" s="97">
        <f>Doubles!G$2</f>
        <v>1</v>
      </c>
      <c r="S654" s="95">
        <f ca="1">IF(AND(H654=H$2,LEN(H654)&gt;1,Q654=1),1,0)</f>
        <v>0</v>
      </c>
      <c r="T654" s="95" t="str">
        <f ca="1">" SR Differences: "&amp;IF(LEN(I654&amp;I655&amp;I656&amp;I657&amp;I658&amp;I659&amp;I660&amp;I661&amp;I662&amp;I663&amp;I664&amp;I665&amp;I666&amp;I667&amp;I668&amp;I669&amp;I670&amp;I671&amp;I672&amp;I673&amp;I674&amp;I675&amp;I676&amp;I677)&lt;3,"None..",I654&amp;I655&amp;I656&amp;I657&amp;I658&amp;I659&amp;I660&amp;I661&amp;I662&amp;I663&amp;I664&amp;I665&amp;I666&amp;I667&amp;I668&amp;I669&amp;I670&amp;I671&amp;I672&amp;I673&amp;I674&amp;I675&amp;I676&amp;I677)</f>
        <v xml:space="preserve"> SR Differences: None..</v>
      </c>
      <c r="V654" s="97">
        <f ca="1">VLOOKUP(1,R654:S677,2,0)</f>
        <v>0</v>
      </c>
      <c r="W654" s="95" t="str">
        <f t="shared" ref="W654:W677" ca="1" si="255">IF(J654=$I$2,IF(OR(G654&amp;G706=G680&amp;G732,G654&amp;G706=G732&amp;G680),"",IF(G654=G706,G654,IF(OR(G654=G680,G654=G732),G706,IF(OR(G706=G680,G706=G732),G654,G654&amp;", "&amp;G706)))),"")</f>
        <v/>
      </c>
      <c r="X654" s="95">
        <f ca="1">IF(F$2=0,IF(AND(G654=G706,NOT(G654=G680),NOT(G654=G732),LEN(W654)&gt;0),2,IF(LEN(W654)=0,0,1)),0)</f>
        <v>0</v>
      </c>
      <c r="Y654" s="95" t="str">
        <f t="shared" ref="Y654:Y677" ca="1" si="256">G654&amp;" "&amp;H654</f>
        <v xml:space="preserve"> 0-0</v>
      </c>
      <c r="Z654" s="95" t="str">
        <f t="shared" ref="Z654:Z677" ca="1" si="257">G706&amp;" "&amp;H706</f>
        <v xml:space="preserve"> 0-0</v>
      </c>
      <c r="AA654" s="95" t="str">
        <f t="shared" ref="AA654:AA677" ca="1" si="258">G680&amp;" "&amp;H680</f>
        <v xml:space="preserve"> 0-0</v>
      </c>
      <c r="AB654" s="95" t="str">
        <f t="shared" ref="AB654:AB677" ca="1" si="259">G732&amp;" "&amp;H732</f>
        <v xml:space="preserve"> 0-0</v>
      </c>
      <c r="AC654" s="95" t="str">
        <f ca="1">IF(AND(LEN(W654)&gt;0,F$2=0),IF(X654=2,W654&amp;" +2, ",W654&amp;", "),"")</f>
        <v/>
      </c>
    </row>
    <row r="655" spans="1:29">
      <c r="A655" s="95">
        <v>2</v>
      </c>
      <c r="B655" s="95">
        <f ca="1">IF(Doubles!J92="",0,Doubles!J92)</f>
        <v>0</v>
      </c>
      <c r="C655" s="99" t="str">
        <f ca="1">IF(OR(LEFT(B655,LEN(B$3))=B$3,LEFT(B655,LEN(C$3))=C$3,LEN(B655)&lt;2),"",IF(B655="no pick","","Wrong pick"))</f>
        <v/>
      </c>
      <c r="D655" s="95">
        <f t="shared" ca="1" si="246"/>
        <v>0</v>
      </c>
      <c r="E655" s="95">
        <f t="shared" ca="1" si="247"/>
        <v>1</v>
      </c>
      <c r="G655" s="95" t="str">
        <f ca="1">IF(B655=0,"",IF(B655="no pick","No Pick",IF(LEFT(B655,LEN(B$3))=B$3,B$3,C$3)))</f>
        <v/>
      </c>
      <c r="H655" s="95" t="str">
        <f t="shared" ca="1" si="248"/>
        <v>0-0</v>
      </c>
      <c r="I655" s="95" t="str">
        <f ca="1">IF(AND(J655=$I$2,F$3=0,NOT(E$3="")),IF(OR(AND(Y655=AA655,Z655=AB655),AND(Y655=AB655,Z655=AA655)),"",IF(AND(Y655=Z655,AA655=AB655),Y655&amp;" +2 v. "&amp;AA655&amp;" +2, ",IF(Y655=AA655,Z655&amp;" v. "&amp;AB655&amp;", ",IF(Z655=AB655,Y655&amp;" v. "&amp;AA655&amp;", ",IF(Y655=AB655,Z655&amp;" v. "&amp;AA655&amp;", ",IF(Z655=AA655,Y655&amp;" v. "&amp;AB655&amp;", ",Y655&amp;" v. "&amp;AA655&amp;", "&amp;Z655&amp;" v. "&amp;AB655&amp;", ")))))),"")</f>
        <v/>
      </c>
      <c r="J655" s="97">
        <f>D$3</f>
        <v>1</v>
      </c>
      <c r="K655" s="95" t="str">
        <f t="shared" ca="1" si="249"/>
        <v>SR</v>
      </c>
      <c r="L655" s="95" t="str">
        <f t="shared" ca="1" si="250"/>
        <v>0</v>
      </c>
      <c r="M655" s="95" t="str">
        <f t="shared" ca="1" si="251"/>
        <v>0</v>
      </c>
      <c r="N655" s="95" t="str">
        <f t="shared" ca="1" si="252"/>
        <v>0</v>
      </c>
      <c r="O655" s="95" t="str">
        <f t="shared" ca="1" si="253"/>
        <v>0</v>
      </c>
      <c r="P655" s="95" t="str">
        <f t="shared" ca="1" si="254"/>
        <v>0</v>
      </c>
      <c r="Q655" s="95">
        <f ca="1">IF(AND(G655=T$3,LEN(G655)&gt;1),1,0)</f>
        <v>0</v>
      </c>
      <c r="R655" s="97">
        <f>Doubles!G$3</f>
        <v>2</v>
      </c>
      <c r="S655" s="95">
        <f ca="1">IF(AND(H655=H$3,LEN(H655)&gt;1,Q655=1),1,0)</f>
        <v>0</v>
      </c>
      <c r="V655" s="97">
        <f ca="1">VLOOKUP(2,R654:S677,2,0)</f>
        <v>0</v>
      </c>
      <c r="W655" s="95" t="str">
        <f t="shared" ca="1" si="255"/>
        <v/>
      </c>
      <c r="X655" s="95">
        <f ca="1">IF(F$3=0,IF(AND(G655=G707,NOT(G655=G681),NOT(G655=G733),LEN(W655)&gt;0),2,IF(LEN(W655)=0,0,1)),0)</f>
        <v>0</v>
      </c>
      <c r="Y655" s="95" t="str">
        <f t="shared" ca="1" si="256"/>
        <v xml:space="preserve"> 0-0</v>
      </c>
      <c r="Z655" s="95" t="str">
        <f t="shared" ca="1" si="257"/>
        <v xml:space="preserve"> 0-0</v>
      </c>
      <c r="AA655" s="95" t="str">
        <f t="shared" ca="1" si="258"/>
        <v xml:space="preserve"> 0-0</v>
      </c>
      <c r="AB655" s="95" t="str">
        <f t="shared" ca="1" si="259"/>
        <v xml:space="preserve"> 0-0</v>
      </c>
      <c r="AC655" s="95" t="str">
        <f ca="1">IF(AND(LEN(W655)&gt;0,F$3=0),IF(X655=2,W655&amp;" +2, ",W655&amp;", "),"")</f>
        <v/>
      </c>
    </row>
    <row r="656" spans="1:29">
      <c r="A656" s="95">
        <v>3</v>
      </c>
      <c r="B656" s="95">
        <f ca="1">IF(Doubles!J93="",0,Doubles!J93)</f>
        <v>0</v>
      </c>
      <c r="C656" s="99" t="str">
        <f ca="1">IF(OR(LEFT(B656,LEN(B$4))=B$4,LEFT(B656,LEN(C$4))=C$4,LEN(B656)&lt;2),"",IF(B656="no pick","","Wrong pick"))</f>
        <v/>
      </c>
      <c r="D656" s="95">
        <f t="shared" ca="1" si="246"/>
        <v>0</v>
      </c>
      <c r="E656" s="95">
        <f t="shared" ca="1" si="247"/>
        <v>1</v>
      </c>
      <c r="G656" s="95" t="str">
        <f ca="1">IF(B656=0,"",IF(B656="no pick","No Pick",IF(LEFT(B656,LEN(B$4))=B$4,B$4,C$4)))</f>
        <v/>
      </c>
      <c r="H656" s="95" t="str">
        <f t="shared" ca="1" si="248"/>
        <v>0-0</v>
      </c>
      <c r="I656" s="95" t="str">
        <f ca="1">IF(AND(J656=$I$2,F$4=0,NOT(E$4="")),IF(OR(AND(Y656=AA656,Z656=AB656),AND(Y656=AB656,Z656=AA656)),"",IF(AND(Y656=Z656,AA656=AB656),Y656&amp;" +2 v. "&amp;AA656&amp;" +2, ",IF(Y656=AA656,Z656&amp;" v. "&amp;AB656&amp;", ",IF(Z656=AB656,Y656&amp;" v. "&amp;AA656&amp;", ",IF(Y656=AB656,Z656&amp;" v. "&amp;AA656&amp;", ",IF(Z656=AA656,Y656&amp;" v. "&amp;AB656&amp;", ",Y656&amp;" v. "&amp;AA656&amp;", "&amp;Z656&amp;" v. "&amp;AB656&amp;", ")))))),"")</f>
        <v/>
      </c>
      <c r="J656" s="97">
        <f>D$4</f>
        <v>1</v>
      </c>
      <c r="K656" s="95" t="str">
        <f t="shared" ca="1" si="249"/>
        <v>SR</v>
      </c>
      <c r="L656" s="95" t="str">
        <f t="shared" ca="1" si="250"/>
        <v>0</v>
      </c>
      <c r="M656" s="95" t="str">
        <f t="shared" ca="1" si="251"/>
        <v>0</v>
      </c>
      <c r="N656" s="95" t="str">
        <f t="shared" ca="1" si="252"/>
        <v>0</v>
      </c>
      <c r="O656" s="95" t="str">
        <f t="shared" ca="1" si="253"/>
        <v>0</v>
      </c>
      <c r="P656" s="95" t="str">
        <f t="shared" ca="1" si="254"/>
        <v>0</v>
      </c>
      <c r="Q656" s="95">
        <f ca="1">IF(AND(G656=T$4,LEN(G656)&gt;1),1,0)</f>
        <v>0</v>
      </c>
      <c r="R656" s="97">
        <f>Doubles!G$4</f>
        <v>3</v>
      </c>
      <c r="S656" s="95">
        <f ca="1">IF(AND(H656=H$4,LEN(H656)&gt;1,Q656=1),1,0)</f>
        <v>0</v>
      </c>
      <c r="T656" s="101">
        <f ca="1">SUMIF(J654:J677,$I$2,X654:X677)</f>
        <v>0</v>
      </c>
      <c r="V656" s="97">
        <f ca="1">VLOOKUP(3,R654:S677,2,0)</f>
        <v>0</v>
      </c>
      <c r="W656" s="95" t="str">
        <f t="shared" ca="1" si="255"/>
        <v/>
      </c>
      <c r="X656" s="95">
        <f ca="1">IF(F$4=0,IF(AND(G656=G708,NOT(G656=G682),NOT(G656=G734),LEN(W656)&gt;0),2,IF(LEN(W656)=0,0,1)),0)</f>
        <v>0</v>
      </c>
      <c r="Y656" s="95" t="str">
        <f t="shared" ca="1" si="256"/>
        <v xml:space="preserve"> 0-0</v>
      </c>
      <c r="Z656" s="95" t="str">
        <f t="shared" ca="1" si="257"/>
        <v xml:space="preserve"> 0-0</v>
      </c>
      <c r="AA656" s="95" t="str">
        <f t="shared" ca="1" si="258"/>
        <v xml:space="preserve"> 0-0</v>
      </c>
      <c r="AB656" s="95" t="str">
        <f t="shared" ca="1" si="259"/>
        <v xml:space="preserve"> 0-0</v>
      </c>
      <c r="AC656" s="95" t="str">
        <f ca="1">IF(AND(LEN(W656)&gt;0,F$4=0),IF(X656=2,W656&amp;" +2, ",W656&amp;", "),"")</f>
        <v/>
      </c>
    </row>
    <row r="657" spans="1:29">
      <c r="A657" s="95">
        <v>4</v>
      </c>
      <c r="B657" s="95">
        <f ca="1">IF(Doubles!J94="",0,Doubles!J94)</f>
        <v>0</v>
      </c>
      <c r="C657" s="99" t="str">
        <f ca="1">IF(OR(LEFT(B657,LEN(B$5))=B$5,LEFT(B657,LEN(C$5))=C$5,LEN(B657)&lt;2),"",IF(B657="no pick","","Wrong pick"))</f>
        <v/>
      </c>
      <c r="D657" s="95">
        <f t="shared" ca="1" si="246"/>
        <v>0</v>
      </c>
      <c r="E657" s="95">
        <f t="shared" ca="1" si="247"/>
        <v>1</v>
      </c>
      <c r="G657" s="95" t="str">
        <f ca="1">IF(B657=0,"",IF(B657="no pick","No Pick",IF(LEFT(B657,LEN(B$5))=B$5,B$5,C$5)))</f>
        <v/>
      </c>
      <c r="H657" s="95" t="str">
        <f t="shared" ca="1" si="248"/>
        <v>0-0</v>
      </c>
      <c r="I657" s="95" t="str">
        <f ca="1">IF(AND(J657=$I$2,F$5=0,NOT(E$5="")),IF(OR(AND(Y657=AA657,Z657=AB657),AND(Y657=AB657,Z657=AA657)),"",IF(AND(Y657=Z657,AA657=AB657),Y657&amp;" +2 v. "&amp;AA657&amp;" +2, ",IF(Y657=AA657,Z657&amp;" v. "&amp;AB657&amp;", ",IF(Z657=AB657,Y657&amp;" v. "&amp;AA657&amp;", ",IF(Y657=AB657,Z657&amp;" v. "&amp;AA657&amp;", ",IF(Z657=AA657,Y657&amp;" v. "&amp;AB657&amp;", ",Y657&amp;" v. "&amp;AA657&amp;", "&amp;Z657&amp;" v. "&amp;AB657&amp;", ")))))),"")</f>
        <v/>
      </c>
      <c r="J657" s="97">
        <f>D$5</f>
        <v>1</v>
      </c>
      <c r="K657" s="95" t="str">
        <f t="shared" ca="1" si="249"/>
        <v>SR</v>
      </c>
      <c r="L657" s="95" t="str">
        <f t="shared" ca="1" si="250"/>
        <v>0</v>
      </c>
      <c r="M657" s="95" t="str">
        <f t="shared" ca="1" si="251"/>
        <v>0</v>
      </c>
      <c r="N657" s="95" t="str">
        <f t="shared" ca="1" si="252"/>
        <v>0</v>
      </c>
      <c r="O657" s="95" t="str">
        <f t="shared" ca="1" si="253"/>
        <v>0</v>
      </c>
      <c r="P657" s="95" t="str">
        <f t="shared" ca="1" si="254"/>
        <v>0</v>
      </c>
      <c r="Q657" s="95">
        <f ca="1">IF(AND(G657=T$5,LEN(G657)&gt;1),1,0)</f>
        <v>0</v>
      </c>
      <c r="R657" s="97">
        <f>Doubles!G$5</f>
        <v>4</v>
      </c>
      <c r="S657" s="95">
        <f ca="1">IF(AND(H657=H$5,LEN(H657)&gt;1,Q657=1),1,0)</f>
        <v>0</v>
      </c>
      <c r="T657" s="95" t="s">
        <v>113</v>
      </c>
      <c r="U657" s="95" t="e">
        <f ca="1">IF(COUNTIF(C654:C755,"=Wrong Pick")&gt;0,"Incorrect pick, probably a spelling mistake",IF(T663&lt;10,"0","")&amp;T663&amp;":"&amp;IF(T664&lt;10,"0","")&amp;T664&amp;" | [b]"&amp;IF(LEN(U658)&gt;0,U658,T653&amp;"/"&amp;T705&amp;IF(LEN(D653)&gt;1," ("&amp;D653&amp;"/"&amp;D705&amp;")","")&amp;"[/b] vs. [b]"&amp;T679&amp;"/"&amp;T731&amp;IF(LEN(D679)&gt;1," ("&amp;D679&amp;"/"&amp;D731&amp;")","")&amp;"[/b]"&amp;IF(Doubles!$D$21&gt;1," (SR "&amp;U663&amp;":"&amp;U664&amp;")","")&amp;" - "&amp;IF(AND(F654="",F680="",F706="",F732=""),IF(LEN(U709)&gt;1,LEFT(U709,LEN(U709)-2)&amp;" vs. "&amp;LEFT(U710,LEN(U710)-2),IF(SUM(F$2:F$25)=0,"Same Winners; ",""))&amp;IF(AND(OR(AND(Doubles!$D$20&gt;1,Doubles!$D$21&lt;Doubles!$D$20),MOD(T656+T663+T664,2)=0),NOT(Doubles!$D$23="No")),LEFT(T654,LEN(T654)-2),""),F654&amp;F680&amp;F706&amp;F732)))</f>
        <v>#N/A</v>
      </c>
      <c r="V657" s="97">
        <f ca="1">VLOOKUP(4,R654:S677,2,0)</f>
        <v>0</v>
      </c>
      <c r="W657" s="95" t="str">
        <f t="shared" ca="1" si="255"/>
        <v/>
      </c>
      <c r="X657" s="95">
        <f ca="1">IF(F$5=0,IF(AND(G657=G709,NOT(G657=G683),NOT(G657=G735),LEN(W657)&gt;0),2,IF(LEN(W657)=0,0,1)),0)</f>
        <v>0</v>
      </c>
      <c r="Y657" s="95" t="str">
        <f t="shared" ca="1" si="256"/>
        <v xml:space="preserve"> 0-0</v>
      </c>
      <c r="Z657" s="95" t="str">
        <f t="shared" ca="1" si="257"/>
        <v xml:space="preserve"> 0-0</v>
      </c>
      <c r="AA657" s="95" t="str">
        <f t="shared" ca="1" si="258"/>
        <v xml:space="preserve"> 0-0</v>
      </c>
      <c r="AB657" s="95" t="str">
        <f t="shared" ca="1" si="259"/>
        <v xml:space="preserve"> 0-0</v>
      </c>
      <c r="AC657" s="95" t="str">
        <f ca="1">IF(AND(LEN(W657)&gt;0,F$5=0),IF(X657=2,W657&amp;" +2, ",W657&amp;", "),"")</f>
        <v/>
      </c>
    </row>
    <row r="658" spans="1:29">
      <c r="A658" s="95">
        <v>5</v>
      </c>
      <c r="B658" s="95">
        <f ca="1">IF(Doubles!J95="",0,Doubles!J95)</f>
        <v>0</v>
      </c>
      <c r="C658" s="99" t="str">
        <f ca="1">IF(OR(LEFT(B658,LEN(B$6))=B$6,LEFT(B658,LEN(C$6))=C$6,LEN(B658)&lt;2),"",IF(B658="no pick","","Wrong pick"))</f>
        <v/>
      </c>
      <c r="D658" s="95">
        <f t="shared" ca="1" si="246"/>
        <v>0</v>
      </c>
      <c r="E658" s="95">
        <f t="shared" ca="1" si="247"/>
        <v>1</v>
      </c>
      <c r="G658" s="95" t="str">
        <f ca="1">IF(B658=0,"",IF(B658="no pick","No Pick",IF(LEFT(B658,LEN(B$6))=B$6,B$6,C$6)))</f>
        <v/>
      </c>
      <c r="H658" s="95" t="str">
        <f t="shared" ca="1" si="248"/>
        <v>0-0</v>
      </c>
      <c r="I658" s="95" t="str">
        <f ca="1">IF(AND(J658=$I$2,F$6=0,NOT(E$6="")),IF(OR(AND(Y658=AA658,Z658=AB658),AND(Y658=AB658,Z658=AA658)),"",IF(AND(Y658=Z658,AA658=AB658),Y658&amp;" +2 v. "&amp;AA658&amp;" +2, ",IF(Y658=AA658,Z658&amp;" v. "&amp;AB658&amp;", ",IF(Z658=AB658,Y658&amp;" v. "&amp;AA658&amp;", ",IF(Y658=AB658,Z658&amp;" v. "&amp;AA658&amp;", ",IF(Z658=AA658,Y658&amp;" v. "&amp;AB658&amp;", ",Y658&amp;" v. "&amp;AA658&amp;", "&amp;Z658&amp;" v. "&amp;AB658&amp;", ")))))),"")</f>
        <v/>
      </c>
      <c r="J658" s="97">
        <f>D$6</f>
        <v>1</v>
      </c>
      <c r="K658" s="95" t="str">
        <f t="shared" ca="1" si="249"/>
        <v>SR</v>
      </c>
      <c r="L658" s="95" t="str">
        <f t="shared" ca="1" si="250"/>
        <v>0</v>
      </c>
      <c r="M658" s="95" t="str">
        <f t="shared" ca="1" si="251"/>
        <v>0</v>
      </c>
      <c r="N658" s="95" t="str">
        <f t="shared" ca="1" si="252"/>
        <v>0</v>
      </c>
      <c r="O658" s="95" t="str">
        <f t="shared" ca="1" si="253"/>
        <v>0</v>
      </c>
      <c r="P658" s="95" t="str">
        <f t="shared" ca="1" si="254"/>
        <v>0</v>
      </c>
      <c r="Q658" s="95">
        <f ca="1">IF(AND(G658=T$6,LEN(G658)&gt;1),1,0)</f>
        <v>0</v>
      </c>
      <c r="R658" s="97">
        <f>Doubles!G$6</f>
        <v>5</v>
      </c>
      <c r="S658" s="95">
        <f ca="1">IF(AND(H658=H$6,LEN(H658)&gt;1,Q658=1),1,0)</f>
        <v>0</v>
      </c>
      <c r="U658" s="95" t="str">
        <f>IF(B653="Bye","Bye[/b] vs. [b][color=blue]"&amp;T679&amp;"/"&amp;T731&amp;IF(LEN(D679)&gt;1," ("&amp;D679&amp;"/"&amp;D731&amp;")","")&amp;"[/color][/b]",IF(B679="Bye","[color=blue]"&amp;T653&amp;"/"&amp;T705&amp;IF(LEN(D653)&gt;1," ("&amp;D653&amp;"/"&amp;D705&amp;")","")&amp;"[/color][/b] vs. [b]Bye[/b]",""))</f>
        <v/>
      </c>
      <c r="V658" s="97">
        <f ca="1">VLOOKUP(5,R654:S677,2,0)</f>
        <v>0</v>
      </c>
      <c r="W658" s="95" t="str">
        <f t="shared" ca="1" si="255"/>
        <v/>
      </c>
      <c r="X658" s="95">
        <f ca="1">IF(F$6=0,IF(AND(G658=G710,NOT(G658=G684),NOT(G658=G736),LEN(W658)&gt;0),2,IF(LEN(W658)=0,0,1)),0)</f>
        <v>0</v>
      </c>
      <c r="Y658" s="95" t="str">
        <f t="shared" ca="1" si="256"/>
        <v xml:space="preserve"> 0-0</v>
      </c>
      <c r="Z658" s="95" t="str">
        <f t="shared" ca="1" si="257"/>
        <v xml:space="preserve"> 0-0</v>
      </c>
      <c r="AA658" s="95" t="str">
        <f t="shared" ca="1" si="258"/>
        <v xml:space="preserve"> 0-0</v>
      </c>
      <c r="AB658" s="95" t="str">
        <f t="shared" ca="1" si="259"/>
        <v xml:space="preserve"> 0-0</v>
      </c>
      <c r="AC658" s="95" t="str">
        <f ca="1">IF(AND(LEN(W658)&gt;0,F$6=0),IF(X658=2,W658&amp;" +2, ",W658&amp;", "),"")</f>
        <v/>
      </c>
    </row>
    <row r="659" spans="1:29">
      <c r="A659" s="95">
        <v>6</v>
      </c>
      <c r="B659" s="95">
        <f ca="1">IF(Doubles!J96="",0,Doubles!J96)</f>
        <v>0</v>
      </c>
      <c r="C659" s="99" t="str">
        <f ca="1">IF(OR(LEFT(B659,LEN(B$7))=B$7,LEFT(B659,LEN(C$7))=C$7,LEN(B659)&lt;2),"",IF(B659="no pick","","Wrong pick"))</f>
        <v/>
      </c>
      <c r="D659" s="95">
        <f t="shared" ca="1" si="246"/>
        <v>0</v>
      </c>
      <c r="E659" s="95">
        <f t="shared" ca="1" si="247"/>
        <v>1</v>
      </c>
      <c r="G659" s="95" t="str">
        <f ca="1">IF(B659=0,"",IF(B659="no pick","No Pick",IF(LEFT(B659,LEN(B$7))=B$7,B$7,C$7)))</f>
        <v/>
      </c>
      <c r="H659" s="95" t="str">
        <f t="shared" ca="1" si="248"/>
        <v>0-0</v>
      </c>
      <c r="I659" s="95" t="str">
        <f ca="1">IF(AND(J659=$I$2,F$7=0,NOT(E$7="")),IF(OR(AND(Y659=AA659,Z659=AB659),AND(Y659=AB659,Z659=AA659)),"",IF(AND(Y659=Z659,AA659=AB659),Y659&amp;" +2 v. "&amp;AA659&amp;" +2, ",IF(Y659=AA659,Z659&amp;" v. "&amp;AB659&amp;", ",IF(Z659=AB659,Y659&amp;" v. "&amp;AA659&amp;", ",IF(Y659=AB659,Z659&amp;" v. "&amp;AA659&amp;", ",IF(Z659=AA659,Y659&amp;" v. "&amp;AB659&amp;", ",Y659&amp;" v. "&amp;AA659&amp;", "&amp;Z659&amp;" v. "&amp;AB659&amp;", ")))))),"")</f>
        <v/>
      </c>
      <c r="J659" s="97">
        <f>D$7</f>
        <v>1</v>
      </c>
      <c r="K659" s="95" t="str">
        <f t="shared" ca="1" si="249"/>
        <v>SR</v>
      </c>
      <c r="L659" s="95" t="str">
        <f t="shared" ca="1" si="250"/>
        <v>0</v>
      </c>
      <c r="M659" s="95" t="str">
        <f t="shared" ca="1" si="251"/>
        <v>0</v>
      </c>
      <c r="N659" s="95" t="str">
        <f t="shared" ca="1" si="252"/>
        <v>0</v>
      </c>
      <c r="O659" s="95" t="str">
        <f t="shared" ca="1" si="253"/>
        <v>0</v>
      </c>
      <c r="P659" s="95" t="str">
        <f t="shared" ca="1" si="254"/>
        <v>0</v>
      </c>
      <c r="Q659" s="95">
        <f ca="1">IF(AND(G659=T$7,LEN(G659)&gt;1),1,0)</f>
        <v>0</v>
      </c>
      <c r="R659" s="97">
        <f>Doubles!G$7</f>
        <v>6</v>
      </c>
      <c r="S659" s="95">
        <f ca="1">IF(AND(H659=H$7,LEN(H659)&gt;1,Q659=1),1,0)</f>
        <v>0</v>
      </c>
      <c r="T659" s="105">
        <f ca="1">SUM(Q654:Q677)</f>
        <v>0</v>
      </c>
      <c r="U659" s="97">
        <f ca="1">SUM(S654:S677)</f>
        <v>0</v>
      </c>
      <c r="V659" s="97">
        <f ca="1">VLOOKUP(6,R654:S677,2,0)</f>
        <v>0</v>
      </c>
      <c r="W659" s="95" t="str">
        <f t="shared" ca="1" si="255"/>
        <v/>
      </c>
      <c r="X659" s="95">
        <f ca="1">IF(F$7=0,IF(AND(G659=G711,NOT(G659=G685),NOT(G659=G737),LEN(W659)&gt;0),2,IF(LEN(W659)=0,0,1)),0)</f>
        <v>0</v>
      </c>
      <c r="Y659" s="95" t="str">
        <f t="shared" ca="1" si="256"/>
        <v xml:space="preserve"> 0-0</v>
      </c>
      <c r="Z659" s="95" t="str">
        <f t="shared" ca="1" si="257"/>
        <v xml:space="preserve"> 0-0</v>
      </c>
      <c r="AA659" s="95" t="str">
        <f t="shared" ca="1" si="258"/>
        <v xml:space="preserve"> 0-0</v>
      </c>
      <c r="AB659" s="95" t="str">
        <f t="shared" ca="1" si="259"/>
        <v xml:space="preserve"> 0-0</v>
      </c>
      <c r="AC659" s="95" t="str">
        <f ca="1">IF(AND(LEN(W659)&gt;0,F$7=0),IF(X659=2,W659&amp;" +2, ",W659&amp;", "),"")</f>
        <v/>
      </c>
    </row>
    <row r="660" spans="1:29">
      <c r="A660" s="95">
        <v>7</v>
      </c>
      <c r="B660" s="95">
        <f ca="1">IF(Doubles!J97="",0,Doubles!J97)</f>
        <v>0</v>
      </c>
      <c r="C660" s="99" t="str">
        <f ca="1">IF(OR(LEFT(B660,LEN(B$8))=B$8,LEFT(B660,LEN(C$8))=C$8,LEN(B660)&lt;2),"",IF(B660="no pick","","Wrong pick"))</f>
        <v/>
      </c>
      <c r="D660" s="95">
        <f t="shared" ca="1" si="246"/>
        <v>0</v>
      </c>
      <c r="E660" s="95">
        <f t="shared" ca="1" si="247"/>
        <v>1</v>
      </c>
      <c r="G660" s="95" t="str">
        <f ca="1">IF(B660=0,"",IF(B660="no pick","No Pick",IF(LEFT(B660,LEN(B$8))=B$8,B$8,C$8)))</f>
        <v/>
      </c>
      <c r="H660" s="95" t="str">
        <f t="shared" ca="1" si="248"/>
        <v>0-0</v>
      </c>
      <c r="I660" s="95" t="str">
        <f ca="1">IF(AND(J660=$I$2,F$8=0,NOT(E$8="")),IF(OR(AND(Y660=AA660,Z660=AB660),AND(Y660=AB660,Z660=AA660)),"",IF(AND(Y660=Z660,AA660=AB660),Y660&amp;" +2 v. "&amp;AA660&amp;" +2, ",IF(Y660=AA660,Z660&amp;" v. "&amp;AB660&amp;", ",IF(Z660=AB660,Y660&amp;" v. "&amp;AA660&amp;", ",IF(Y660=AB660,Z660&amp;" v. "&amp;AA660&amp;", ",IF(Z660=AA660,Y660&amp;" v. "&amp;AB660&amp;", ",Y660&amp;" v. "&amp;AA660&amp;", "&amp;Z660&amp;" v. "&amp;AB660&amp;", ")))))),"")</f>
        <v/>
      </c>
      <c r="J660" s="97">
        <f>D$8</f>
        <v>1</v>
      </c>
      <c r="K660" s="95" t="str">
        <f t="shared" ca="1" si="249"/>
        <v>SR</v>
      </c>
      <c r="L660" s="95" t="str">
        <f t="shared" ca="1" si="250"/>
        <v>0</v>
      </c>
      <c r="M660" s="95" t="str">
        <f t="shared" ca="1" si="251"/>
        <v>0</v>
      </c>
      <c r="N660" s="95" t="str">
        <f t="shared" ca="1" si="252"/>
        <v>0</v>
      </c>
      <c r="O660" s="95" t="str">
        <f t="shared" ca="1" si="253"/>
        <v>0</v>
      </c>
      <c r="P660" s="95" t="str">
        <f t="shared" ca="1" si="254"/>
        <v>0</v>
      </c>
      <c r="Q660" s="95">
        <f ca="1">IF(AND(G660=T$8,LEN(G660)&gt;1),1,0)</f>
        <v>0</v>
      </c>
      <c r="R660" s="97">
        <f>Doubles!G$8</f>
        <v>7</v>
      </c>
      <c r="S660" s="95">
        <f ca="1">IF(AND(H660=H$8,LEN(H660)&gt;1,Q660=1),1,0)</f>
        <v>0</v>
      </c>
      <c r="T660" s="105">
        <f ca="1">SUM(Q680:Q703)</f>
        <v>0</v>
      </c>
      <c r="U660" s="97">
        <f ca="1">SUM(S680:S703)</f>
        <v>0</v>
      </c>
      <c r="V660" s="97">
        <f ca="1">VLOOKUP(7,R654:S677,2,0)</f>
        <v>0</v>
      </c>
      <c r="W660" s="95" t="str">
        <f t="shared" ca="1" si="255"/>
        <v/>
      </c>
      <c r="X660" s="95">
        <f ca="1">IF(F$8=0,IF(AND(G660=G712,NOT(G660=G686),NOT(G660=G738),LEN(W660)&gt;0),2,IF(LEN(W660)=0,0,1)),0)</f>
        <v>0</v>
      </c>
      <c r="Y660" s="95" t="str">
        <f t="shared" ca="1" si="256"/>
        <v xml:space="preserve"> 0-0</v>
      </c>
      <c r="Z660" s="95" t="str">
        <f t="shared" ca="1" si="257"/>
        <v xml:space="preserve"> 0-0</v>
      </c>
      <c r="AA660" s="95" t="str">
        <f t="shared" ca="1" si="258"/>
        <v xml:space="preserve"> 0-0</v>
      </c>
      <c r="AB660" s="95" t="str">
        <f t="shared" ca="1" si="259"/>
        <v xml:space="preserve"> 0-0</v>
      </c>
      <c r="AC660" s="95" t="str">
        <f ca="1">IF(AND(LEN(W660)&gt;0,F$8=0),IF(X660=2,W660&amp;" +2, ",W660&amp;", "),"")</f>
        <v/>
      </c>
    </row>
    <row r="661" spans="1:29">
      <c r="A661" s="95">
        <v>8</v>
      </c>
      <c r="B661" s="95">
        <f ca="1">IF(Doubles!J98="",0,Doubles!J98)</f>
        <v>0</v>
      </c>
      <c r="C661" s="99" t="str">
        <f ca="1">IF(OR(LEFT(B661,LEN(B$9))=B$9,LEFT(B661,LEN(C$9))=C$9,LEN(B661)&lt;2),"",IF(B661="no pick","","Wrong pick"))</f>
        <v/>
      </c>
      <c r="D661" s="95">
        <f t="shared" ca="1" si="246"/>
        <v>0</v>
      </c>
      <c r="E661" s="95">
        <f t="shared" ca="1" si="247"/>
        <v>1</v>
      </c>
      <c r="G661" s="95" t="str">
        <f ca="1">IF(B661=0,"",IF(B661="no pick","No Pick",IF(LEFT(B661,LEN(B$9))=B$9,B$9,C$9)))</f>
        <v/>
      </c>
      <c r="H661" s="95" t="str">
        <f t="shared" ca="1" si="248"/>
        <v>0-0</v>
      </c>
      <c r="I661" s="95" t="str">
        <f ca="1">IF(AND(J661=$I$2,F$9=0,NOT(E$9="")),IF(OR(AND(Y661=AA661,Z661=AB661),AND(Y661=AB661,Z661=AA661)),"",IF(AND(Y661=Z661,AA661=AB661),Y661&amp;" +2 v. "&amp;AA661&amp;" +2, ",IF(Y661=AA661,Z661&amp;" v. "&amp;AB661&amp;", ",IF(Z661=AB661,Y661&amp;" v. "&amp;AA661&amp;", ",IF(Y661=AB661,Z661&amp;" v. "&amp;AA661&amp;", ",IF(Z661=AA661,Y661&amp;" v. "&amp;AB661&amp;", ",Y661&amp;" v. "&amp;AA661&amp;", "&amp;Z661&amp;" v. "&amp;AB661&amp;", ")))))),"")</f>
        <v/>
      </c>
      <c r="J661" s="97">
        <f>D$9</f>
        <v>1</v>
      </c>
      <c r="K661" s="95" t="str">
        <f t="shared" ca="1" si="249"/>
        <v>SR</v>
      </c>
      <c r="L661" s="95" t="str">
        <f t="shared" ca="1" si="250"/>
        <v>0</v>
      </c>
      <c r="M661" s="95" t="str">
        <f t="shared" ca="1" si="251"/>
        <v>0</v>
      </c>
      <c r="N661" s="95" t="str">
        <f t="shared" ca="1" si="252"/>
        <v>0</v>
      </c>
      <c r="O661" s="95" t="str">
        <f t="shared" ca="1" si="253"/>
        <v>0</v>
      </c>
      <c r="P661" s="95" t="str">
        <f t="shared" ca="1" si="254"/>
        <v>0</v>
      </c>
      <c r="Q661" s="95">
        <f ca="1">IF(AND(G661=T$9,LEN(G661)&gt;1),1,0)</f>
        <v>0</v>
      </c>
      <c r="R661" s="97">
        <f>Doubles!G$9</f>
        <v>8</v>
      </c>
      <c r="S661" s="95">
        <f ca="1">IF(AND(H661=H$9,LEN(H661)&gt;1,Q661=1),1,0)</f>
        <v>0</v>
      </c>
      <c r="V661" s="97">
        <f ca="1">VLOOKUP(8,R654:S677,2,0)</f>
        <v>0</v>
      </c>
      <c r="W661" s="95" t="str">
        <f t="shared" ca="1" si="255"/>
        <v/>
      </c>
      <c r="X661" s="95">
        <f ca="1">IF(F$9=0,IF(AND(G661=G713,NOT(G661=G687),NOT(G661=G739),LEN(W661)&gt;0),2,IF(LEN(W661)=0,0,1)),0)</f>
        <v>0</v>
      </c>
      <c r="Y661" s="95" t="str">
        <f t="shared" ca="1" si="256"/>
        <v xml:space="preserve"> 0-0</v>
      </c>
      <c r="Z661" s="95" t="str">
        <f t="shared" ca="1" si="257"/>
        <v xml:space="preserve"> 0-0</v>
      </c>
      <c r="AA661" s="95" t="str">
        <f t="shared" ca="1" si="258"/>
        <v xml:space="preserve"> 0-0</v>
      </c>
      <c r="AB661" s="95" t="str">
        <f t="shared" ca="1" si="259"/>
        <v xml:space="preserve"> 0-0</v>
      </c>
      <c r="AC661" s="95" t="str">
        <f ca="1">IF(AND(LEN(W661)&gt;0,F$9=0),IF(X661=2,W661&amp;" +2, ",W661&amp;", "),"")</f>
        <v/>
      </c>
    </row>
    <row r="662" spans="1:29">
      <c r="A662" s="95">
        <v>9</v>
      </c>
      <c r="B662" s="95">
        <f ca="1">IF(Doubles!J99="",0,Doubles!J99)</f>
        <v>0</v>
      </c>
      <c r="C662" s="99" t="str">
        <f ca="1">IF(OR(LEFT(B662,LEN(B$10))=B$10,LEFT(B662,LEN(C$10))=C$10,LEN(B662)&lt;2),"",IF(B662="no pick","","Wrong pick"))</f>
        <v/>
      </c>
      <c r="D662" s="95">
        <f t="shared" ca="1" si="246"/>
        <v>0</v>
      </c>
      <c r="E662" s="95">
        <f t="shared" ca="1" si="247"/>
        <v>1</v>
      </c>
      <c r="G662" s="95" t="str">
        <f ca="1">IF(B662=0,"",IF(B662="no pick","No Pick",IF(LEFT(B662,LEN(B$10))=B$10,B$10,C$10)))</f>
        <v/>
      </c>
      <c r="H662" s="95" t="str">
        <f t="shared" ca="1" si="248"/>
        <v>0-0</v>
      </c>
      <c r="I662" s="95" t="str">
        <f ca="1">IF(AND(J662=$I$2,F$10=0,NOT(E$10="")),IF(OR(AND(Y662=AA662,Z662=AB662),AND(Y662=AB662,Z662=AA662)),"",IF(AND(Y662=Z662,AA662=AB662),Y662&amp;" +2 v. "&amp;AA662&amp;" +2, ",IF(Y662=AA662,Z662&amp;" v. "&amp;AB662&amp;", ",IF(Z662=AB662,Y662&amp;" v. "&amp;AA662&amp;", ",IF(Y662=AB662,Z662&amp;" v. "&amp;AA662&amp;", ",IF(Z662=AA662,Y662&amp;" v. "&amp;AB662&amp;", ",Y662&amp;" v. "&amp;AA662&amp;", "&amp;Z662&amp;" v. "&amp;AB662&amp;", ")))))),"")</f>
        <v/>
      </c>
      <c r="J662" s="97">
        <f>D$10</f>
        <v>1</v>
      </c>
      <c r="K662" s="95" t="str">
        <f t="shared" ca="1" si="249"/>
        <v>SR</v>
      </c>
      <c r="L662" s="95" t="str">
        <f t="shared" ca="1" si="250"/>
        <v>0</v>
      </c>
      <c r="M662" s="95" t="str">
        <f t="shared" ca="1" si="251"/>
        <v>0</v>
      </c>
      <c r="N662" s="95" t="str">
        <f t="shared" ca="1" si="252"/>
        <v>0</v>
      </c>
      <c r="O662" s="95" t="str">
        <f t="shared" ca="1" si="253"/>
        <v>0</v>
      </c>
      <c r="P662" s="95" t="str">
        <f t="shared" ca="1" si="254"/>
        <v>0</v>
      </c>
      <c r="Q662" s="95">
        <f ca="1">IF(AND(G662=T$10,LEN(G662)&gt;1),1,0)</f>
        <v>0</v>
      </c>
      <c r="R662" s="97">
        <f>Doubles!G$10</f>
        <v>9</v>
      </c>
      <c r="S662" s="95">
        <f ca="1">IF(AND(H662=H$10,LEN(H662)&gt;1,Q662=1),1,0)</f>
        <v>0</v>
      </c>
      <c r="T662" s="95" t="e">
        <f>VLOOKUP("Winner",T680:U704,2,0)</f>
        <v>#N/A</v>
      </c>
      <c r="U662" s="95" t="e">
        <f>VLOOKUP(T662,U680:W704,3,0)</f>
        <v>#N/A</v>
      </c>
      <c r="V662" s="97">
        <f ca="1">VLOOKUP(9,R654:S677,2,0)</f>
        <v>0</v>
      </c>
      <c r="W662" s="95" t="str">
        <f t="shared" ca="1" si="255"/>
        <v/>
      </c>
      <c r="X662" s="95">
        <f ca="1">IF(F$10=0,IF(AND(G662=G714,NOT(G662=G688),NOT(G662=G740),LEN(W662)&gt;0),2,IF(LEN(W662)=0,0,1)),0)</f>
        <v>0</v>
      </c>
      <c r="Y662" s="95" t="str">
        <f t="shared" ca="1" si="256"/>
        <v xml:space="preserve"> 0-0</v>
      </c>
      <c r="Z662" s="95" t="str">
        <f t="shared" ca="1" si="257"/>
        <v xml:space="preserve"> 0-0</v>
      </c>
      <c r="AA662" s="95" t="str">
        <f t="shared" ca="1" si="258"/>
        <v xml:space="preserve"> 0-0</v>
      </c>
      <c r="AB662" s="95" t="str">
        <f t="shared" ca="1" si="259"/>
        <v xml:space="preserve"> 0-0</v>
      </c>
      <c r="AC662" s="95" t="str">
        <f ca="1">IF(AND(LEN(W662)&gt;0,F$10=0),IF(X662=2,W662&amp;" +2, ",W662&amp;", "),"")</f>
        <v/>
      </c>
    </row>
    <row r="663" spans="1:29">
      <c r="A663" s="95">
        <v>10</v>
      </c>
      <c r="B663" s="95">
        <f ca="1">IF(Doubles!J100="",0,Doubles!J100)</f>
        <v>0</v>
      </c>
      <c r="C663" s="99" t="str">
        <f ca="1">IF(OR(LEFT(B663,LEN(B$11))=B$11,LEFT(B663,LEN(C$11))=C$11,LEN(B663)&lt;2),"",IF(B663="no pick","","Wrong pick"))</f>
        <v/>
      </c>
      <c r="D663" s="95">
        <f t="shared" ca="1" si="246"/>
        <v>0</v>
      </c>
      <c r="E663" s="95">
        <f t="shared" ca="1" si="247"/>
        <v>1</v>
      </c>
      <c r="G663" s="95" t="str">
        <f ca="1">IF(B663=0,"",IF(B663="no pick","No Pick",IF(LEFT(B663,LEN(B$11))=B$11,B$11,C$11)))</f>
        <v/>
      </c>
      <c r="H663" s="95" t="str">
        <f t="shared" ca="1" si="248"/>
        <v>0-0</v>
      </c>
      <c r="I663" s="95" t="str">
        <f ca="1">IF(AND(J663=$I$2,F$11=0,NOT(E$11="")),IF(OR(AND(Y663=AA663,Z663=AB663),AND(Y663=AB663,Z663=AA663)),"",IF(AND(Y663=Z663,AA663=AB663),Y663&amp;" +2 v. "&amp;AA663&amp;" +2, ",IF(Y663=AA663,Z663&amp;" v. "&amp;AB663&amp;", ",IF(Z663=AB663,Y663&amp;" v. "&amp;AA663&amp;", ",IF(Y663=AB663,Z663&amp;" v. "&amp;AA663&amp;", ",IF(Z663=AA663,Y663&amp;" v. "&amp;AB663&amp;", ",Y663&amp;" v. "&amp;AA663&amp;", "&amp;Z663&amp;" v. "&amp;AB663&amp;", ")))))),"")</f>
        <v/>
      </c>
      <c r="J663" s="97">
        <f>D$11</f>
        <v>1</v>
      </c>
      <c r="K663" s="95" t="str">
        <f t="shared" ca="1" si="249"/>
        <v>SR</v>
      </c>
      <c r="L663" s="95" t="str">
        <f t="shared" ca="1" si="250"/>
        <v>0</v>
      </c>
      <c r="M663" s="95" t="str">
        <f t="shared" ca="1" si="251"/>
        <v>0</v>
      </c>
      <c r="N663" s="95" t="str">
        <f t="shared" ca="1" si="252"/>
        <v>0</v>
      </c>
      <c r="O663" s="95" t="str">
        <f t="shared" ca="1" si="253"/>
        <v>0</v>
      </c>
      <c r="P663" s="95" t="str">
        <f t="shared" ca="1" si="254"/>
        <v>0</v>
      </c>
      <c r="Q663" s="95">
        <f ca="1">IF(AND(G663=T$11,LEN(G663)&gt;1),1,0)</f>
        <v>0</v>
      </c>
      <c r="R663" s="97">
        <f>Doubles!G$11</f>
        <v>10</v>
      </c>
      <c r="S663" s="95">
        <f ca="1">IF(AND(H663=H$11,LEN(H663)&gt;1,Q663=1),1,0)</f>
        <v>0</v>
      </c>
      <c r="T663" s="97">
        <f ca="1">T659+T711</f>
        <v>0</v>
      </c>
      <c r="U663" s="95">
        <f ca="1">U659+U711</f>
        <v>0</v>
      </c>
      <c r="V663" s="97">
        <f ca="1">VLOOKUP(10,R654:S677,2,0)</f>
        <v>0</v>
      </c>
      <c r="W663" s="95" t="str">
        <f t="shared" ca="1" si="255"/>
        <v/>
      </c>
      <c r="X663" s="95">
        <f ca="1">IF(F$11=0,IF(AND(G663=G715,NOT(G663=G689),NOT(G663=G741),LEN(W663)&gt;0),2,IF(LEN(W663)=0,0,1)),0)</f>
        <v>0</v>
      </c>
      <c r="Y663" s="95" t="str">
        <f t="shared" ca="1" si="256"/>
        <v xml:space="preserve"> 0-0</v>
      </c>
      <c r="Z663" s="95" t="str">
        <f t="shared" ca="1" si="257"/>
        <v xml:space="preserve"> 0-0</v>
      </c>
      <c r="AA663" s="95" t="str">
        <f t="shared" ca="1" si="258"/>
        <v xml:space="preserve"> 0-0</v>
      </c>
      <c r="AB663" s="95" t="str">
        <f t="shared" ca="1" si="259"/>
        <v xml:space="preserve"> 0-0</v>
      </c>
      <c r="AC663" s="95" t="str">
        <f ca="1">IF(AND(LEN(W663)&gt;0,F$11=0),IF(X663=2,W663&amp;" +2, ",W663&amp;", "),"")</f>
        <v/>
      </c>
    </row>
    <row r="664" spans="1:29">
      <c r="A664" s="95">
        <v>11</v>
      </c>
      <c r="B664" s="95">
        <f ca="1">IF(Doubles!J101="",0,Doubles!J101)</f>
        <v>0</v>
      </c>
      <c r="C664" s="99" t="str">
        <f ca="1">IF(OR(LEFT(B664,LEN(B$12))=B$12,LEFT(B664,LEN(C$12))=C$12,LEN(B664)&lt;2),"",IF(B664="no pick","","Wrong pick"))</f>
        <v/>
      </c>
      <c r="D664" s="95">
        <f t="shared" ca="1" si="246"/>
        <v>0</v>
      </c>
      <c r="E664" s="95">
        <f t="shared" ca="1" si="247"/>
        <v>1</v>
      </c>
      <c r="G664" s="95" t="str">
        <f ca="1">IF(B664=0,"",IF(B664="no pick","No Pick",IF(LEFT(B664,LEN(B$12))=B$12,B$12,C$12)))</f>
        <v/>
      </c>
      <c r="H664" s="95" t="str">
        <f t="shared" ca="1" si="248"/>
        <v>0-0</v>
      </c>
      <c r="I664" s="95" t="str">
        <f ca="1">IF(AND(J664=$I$2,F$12=0,NOT(E$12="")),IF(OR(AND(Y664=AA664,Z664=AB664),AND(Y664=AB664,Z664=AA664)),"",IF(AND(Y664=Z664,AA664=AB664),Y664&amp;" +2 v. "&amp;AA664&amp;" +2, ",IF(Y664=AA664,Z664&amp;" v. "&amp;AB664&amp;", ",IF(Z664=AB664,Y664&amp;" v. "&amp;AA664&amp;", ",IF(Y664=AB664,Z664&amp;" v. "&amp;AA664&amp;", ",IF(Z664=AA664,Y664&amp;" v. "&amp;AB664&amp;", ",Y664&amp;" v. "&amp;AA664&amp;", "&amp;Z664&amp;" v. "&amp;AB664&amp;", ")))))),"")</f>
        <v/>
      </c>
      <c r="J664" s="97">
        <f>D$12</f>
        <v>1</v>
      </c>
      <c r="K664" s="95" t="str">
        <f t="shared" ca="1" si="249"/>
        <v>SR</v>
      </c>
      <c r="L664" s="95" t="str">
        <f t="shared" ca="1" si="250"/>
        <v>0</v>
      </c>
      <c r="M664" s="95" t="str">
        <f t="shared" ca="1" si="251"/>
        <v>0</v>
      </c>
      <c r="N664" s="95" t="str">
        <f t="shared" ca="1" si="252"/>
        <v>0</v>
      </c>
      <c r="O664" s="95" t="str">
        <f t="shared" ca="1" si="253"/>
        <v>0</v>
      </c>
      <c r="P664" s="95" t="str">
        <f t="shared" ca="1" si="254"/>
        <v>0</v>
      </c>
      <c r="Q664" s="95">
        <f ca="1">IF(AND(G664=T$12,LEN(G664)&gt;1),1,0)</f>
        <v>0</v>
      </c>
      <c r="R664" s="97">
        <f>Doubles!G$12</f>
        <v>11</v>
      </c>
      <c r="S664" s="95">
        <f ca="1">IF(AND(H664=H$12,LEN(H664)&gt;1,Q664=1),1,0)</f>
        <v>0</v>
      </c>
      <c r="T664" s="97">
        <f ca="1">T660+T712</f>
        <v>0</v>
      </c>
      <c r="U664" s="95">
        <f ca="1">U660+U712</f>
        <v>0</v>
      </c>
      <c r="V664" s="97">
        <f ca="1">VLOOKUP(11,R654:S677,2,0)</f>
        <v>0</v>
      </c>
      <c r="W664" s="95" t="str">
        <f t="shared" ca="1" si="255"/>
        <v/>
      </c>
      <c r="X664" s="95">
        <f ca="1">IF(F$12=0,IF(AND(G664=G716,NOT(G664=G690),NOT(G664=G742),LEN(W664)&gt;0),2,IF(LEN(W664)=0,0,1)),0)</f>
        <v>0</v>
      </c>
      <c r="Y664" s="95" t="str">
        <f t="shared" ca="1" si="256"/>
        <v xml:space="preserve"> 0-0</v>
      </c>
      <c r="Z664" s="95" t="str">
        <f t="shared" ca="1" si="257"/>
        <v xml:space="preserve"> 0-0</v>
      </c>
      <c r="AA664" s="95" t="str">
        <f t="shared" ca="1" si="258"/>
        <v xml:space="preserve"> 0-0</v>
      </c>
      <c r="AB664" s="95" t="str">
        <f t="shared" ca="1" si="259"/>
        <v xml:space="preserve"> 0-0</v>
      </c>
      <c r="AC664" s="95" t="str">
        <f ca="1">IF(AND(LEN(W664)&gt;0,F$12=0),IF(X664=2,W664&amp;" +2, ",W664&amp;", "),"")</f>
        <v/>
      </c>
    </row>
    <row r="665" spans="1:29">
      <c r="A665" s="95">
        <v>12</v>
      </c>
      <c r="B665" s="95">
        <f ca="1">IF(Doubles!J102="",0,Doubles!J102)</f>
        <v>0</v>
      </c>
      <c r="C665" s="99" t="str">
        <f ca="1">IF(OR(LEFT(B665,LEN(B$13))=B$13,LEFT(B665,LEN(C$13))=C$13,LEN(B665)&lt;2),"",IF(B665="no pick","","Wrong pick"))</f>
        <v/>
      </c>
      <c r="D665" s="95">
        <f t="shared" ca="1" si="246"/>
        <v>0</v>
      </c>
      <c r="E665" s="95">
        <f t="shared" ca="1" si="247"/>
        <v>1</v>
      </c>
      <c r="G665" s="95" t="str">
        <f ca="1">IF(B665=0,"",IF(B665="no pick","No Pick",IF(LEFT(B665,LEN(B$13))=B$13,B$13,C$13)))</f>
        <v/>
      </c>
      <c r="H665" s="95" t="str">
        <f t="shared" ca="1" si="248"/>
        <v>0-0</v>
      </c>
      <c r="I665" s="95" t="str">
        <f ca="1">IF(AND(J665=$I$2,F$13=0,NOT(E$13="")),IF(OR(AND(Y665=AA665,Z665=AB665),AND(Y665=AB665,Z665=AA665)),"",IF(AND(Y665=Z665,AA665=AB665),Y665&amp;" +2 v. "&amp;AA665&amp;" +2, ",IF(Y665=AA665,Z665&amp;" v. "&amp;AB665&amp;", ",IF(Z665=AB665,Y665&amp;" v. "&amp;AA665&amp;", ",IF(Y665=AB665,Z665&amp;" v. "&amp;AA665&amp;", ",IF(Z665=AA665,Y665&amp;" v. "&amp;AB665&amp;", ",Y665&amp;" v. "&amp;AA665&amp;", "&amp;Z665&amp;" v. "&amp;AB665&amp;", ")))))),"")</f>
        <v/>
      </c>
      <c r="J665" s="97">
        <f>D$13</f>
        <v>1</v>
      </c>
      <c r="K665" s="95" t="str">
        <f t="shared" ca="1" si="249"/>
        <v>SR</v>
      </c>
      <c r="L665" s="95" t="str">
        <f t="shared" ca="1" si="250"/>
        <v>0</v>
      </c>
      <c r="M665" s="95" t="str">
        <f t="shared" ca="1" si="251"/>
        <v>0</v>
      </c>
      <c r="N665" s="95" t="str">
        <f t="shared" ca="1" si="252"/>
        <v>0</v>
      </c>
      <c r="O665" s="95" t="str">
        <f t="shared" ca="1" si="253"/>
        <v>0</v>
      </c>
      <c r="P665" s="95" t="str">
        <f t="shared" ca="1" si="254"/>
        <v>0</v>
      </c>
      <c r="Q665" s="95">
        <f ca="1">IF(AND(G665=T$13,LEN(G665)&gt;1),1,0)</f>
        <v>0</v>
      </c>
      <c r="R665" s="97">
        <f>Doubles!G$13</f>
        <v>12</v>
      </c>
      <c r="S665" s="95">
        <f ca="1">IF(AND(H665=H$13,LEN(H665)&gt;1,Q665=1),1,0)</f>
        <v>0</v>
      </c>
      <c r="V665" s="97">
        <f ca="1">VLOOKUP(12,R654:S677,2,0)</f>
        <v>0</v>
      </c>
      <c r="W665" s="95" t="str">
        <f t="shared" ca="1" si="255"/>
        <v/>
      </c>
      <c r="X665" s="95">
        <f ca="1">IF(F$13=0,IF(AND(G665=G717,NOT(G665=G691),NOT(G665=G743),LEN(W665)&gt;0),2,IF(LEN(W665)=0,0,1)),0)</f>
        <v>0</v>
      </c>
      <c r="Y665" s="95" t="str">
        <f t="shared" ca="1" si="256"/>
        <v xml:space="preserve"> 0-0</v>
      </c>
      <c r="Z665" s="95" t="str">
        <f t="shared" ca="1" si="257"/>
        <v xml:space="preserve"> 0-0</v>
      </c>
      <c r="AA665" s="95" t="str">
        <f t="shared" ca="1" si="258"/>
        <v xml:space="preserve"> 0-0</v>
      </c>
      <c r="AB665" s="95" t="str">
        <f t="shared" ca="1" si="259"/>
        <v xml:space="preserve"> 0-0</v>
      </c>
      <c r="AC665" s="95" t="str">
        <f ca="1">IF(AND(LEN(W665)&gt;0,F$13=0),IF(X665=2,W665&amp;" +2, ",W665&amp;", "),"")</f>
        <v/>
      </c>
    </row>
    <row r="666" spans="1:29">
      <c r="A666" s="95">
        <v>13</v>
      </c>
      <c r="B666" s="95">
        <f ca="1">IF(Doubles!J103="",0,Doubles!J103)</f>
        <v>0</v>
      </c>
      <c r="C666" s="99" t="str">
        <f ca="1">IF(OR(LEFT(B666,LEN(B$14))=B$14,LEFT(B666,LEN(C$14))=C$14,LEN(B666)&lt;2),"",IF(B666="no pick","","Wrong pick"))</f>
        <v/>
      </c>
      <c r="D666" s="95">
        <f t="shared" ca="1" si="246"/>
        <v>0</v>
      </c>
      <c r="E666" s="95">
        <f t="shared" ca="1" si="247"/>
        <v>1</v>
      </c>
      <c r="G666" s="95" t="str">
        <f ca="1">IF(B666=0,"",IF(B666="no pick","No Pick",IF(LEFT(B666,LEN(B$14))=B$14,B$14,C$14)))</f>
        <v/>
      </c>
      <c r="H666" s="95" t="str">
        <f t="shared" ca="1" si="248"/>
        <v>0-0</v>
      </c>
      <c r="I666" s="95" t="str">
        <f ca="1">IF(AND(J666=$I$2,F$14=0,NOT(E$14="")),IF(OR(AND(Y666=AA666,Z666=AB666),AND(Y666=AB666,Z666=AA666)),"",IF(AND(Y666=Z666,AA666=AB666),Y666&amp;" +2 v. "&amp;AA666&amp;" +2, ",IF(Y666=AA666,Z666&amp;" v. "&amp;AB666&amp;", ",IF(Z666=AB666,Y666&amp;" v. "&amp;AA666&amp;", ",IF(Y666=AB666,Z666&amp;" v. "&amp;AA666&amp;", ",IF(Z666=AA666,Y666&amp;" v. "&amp;AB666&amp;", ",Y666&amp;" v. "&amp;AA666&amp;", "&amp;Z666&amp;" v. "&amp;AB666&amp;", ")))))),"")</f>
        <v/>
      </c>
      <c r="J666" s="97">
        <f>D$14</f>
        <v>1</v>
      </c>
      <c r="K666" s="95" t="str">
        <f t="shared" ca="1" si="249"/>
        <v>SR</v>
      </c>
      <c r="L666" s="95" t="str">
        <f t="shared" ca="1" si="250"/>
        <v>0</v>
      </c>
      <c r="M666" s="95" t="str">
        <f t="shared" ca="1" si="251"/>
        <v>0</v>
      </c>
      <c r="N666" s="95" t="str">
        <f t="shared" ca="1" si="252"/>
        <v>0</v>
      </c>
      <c r="O666" s="95" t="str">
        <f t="shared" ca="1" si="253"/>
        <v>0</v>
      </c>
      <c r="P666" s="95" t="str">
        <f t="shared" ca="1" si="254"/>
        <v>0</v>
      </c>
      <c r="Q666" s="95">
        <f ca="1">IF(AND(G666=T$14,LEN(G666)&gt;1),1,0)</f>
        <v>0</v>
      </c>
      <c r="R666" s="97">
        <f>Doubles!G$14</f>
        <v>13</v>
      </c>
      <c r="S666" s="95">
        <f ca="1">IF(AND(H666=H$14,LEN(H666)&gt;1,Q666=1),1,0)</f>
        <v>0</v>
      </c>
      <c r="V666" s="97">
        <f ca="1">VLOOKUP(13,R654:S677,2,0)</f>
        <v>0</v>
      </c>
      <c r="W666" s="95" t="str">
        <f t="shared" ca="1" si="255"/>
        <v/>
      </c>
      <c r="X666" s="95">
        <f ca="1">IF(F$14=0,IF(AND(G666=G718,NOT(G666=G692),NOT(G666=G744),LEN(W666)&gt;0),2,IF(LEN(W666)=0,0,1)),0)</f>
        <v>0</v>
      </c>
      <c r="Y666" s="95" t="str">
        <f t="shared" ca="1" si="256"/>
        <v xml:space="preserve"> 0-0</v>
      </c>
      <c r="Z666" s="95" t="str">
        <f t="shared" ca="1" si="257"/>
        <v xml:space="preserve"> 0-0</v>
      </c>
      <c r="AA666" s="95" t="str">
        <f t="shared" ca="1" si="258"/>
        <v xml:space="preserve"> 0-0</v>
      </c>
      <c r="AB666" s="95" t="str">
        <f t="shared" ca="1" si="259"/>
        <v xml:space="preserve"> 0-0</v>
      </c>
      <c r="AC666" s="95" t="str">
        <f ca="1">IF(AND(LEN(W666)&gt;0,F$14=0),IF(X666=2,W666&amp;" +2, ",W666&amp;", "),"")</f>
        <v/>
      </c>
    </row>
    <row r="667" spans="1:29">
      <c r="A667" s="95">
        <v>14</v>
      </c>
      <c r="B667" s="95">
        <f ca="1">IF(Doubles!J104="",0,Doubles!J104)</f>
        <v>0</v>
      </c>
      <c r="C667" s="99" t="str">
        <f ca="1">IF(OR(LEFT(B667,LEN(B$15))=B$15,LEFT(B667,LEN(C$15))=C$15,LEN(B667)&lt;2),"",IF(B667="no pick","","Wrong pick"))</f>
        <v/>
      </c>
      <c r="D667" s="95">
        <f t="shared" ca="1" si="246"/>
        <v>0</v>
      </c>
      <c r="E667" s="95">
        <f t="shared" ca="1" si="247"/>
        <v>1</v>
      </c>
      <c r="G667" s="95" t="str">
        <f ca="1">IF(B667=0,"",IF(B667="no pick","No Pick",IF(LEFT(B667,LEN(B$15))=B$15,B$15,C$15)))</f>
        <v/>
      </c>
      <c r="H667" s="95" t="str">
        <f t="shared" ca="1" si="248"/>
        <v>0-0</v>
      </c>
      <c r="I667" s="95" t="str">
        <f ca="1">IF(AND(J667=$I$2,F$15=0,NOT(E$15="")),IF(OR(AND(Y667=AA667,Z667=AB667),AND(Y667=AB667,Z667=AA667)),"",IF(AND(Y667=Z667,AA667=AB667),Y667&amp;" +2 v. "&amp;AA667&amp;" +2, ",IF(Y667=AA667,Z667&amp;" v. "&amp;AB667&amp;", ",IF(Z667=AB667,Y667&amp;" v. "&amp;AA667&amp;", ",IF(Y667=AB667,Z667&amp;" v. "&amp;AA667&amp;", ",IF(Z667=AA667,Y667&amp;" v. "&amp;AB667&amp;", ",Y667&amp;" v. "&amp;AA667&amp;", "&amp;Z667&amp;" v. "&amp;AB667&amp;", ")))))),"")</f>
        <v/>
      </c>
      <c r="J667" s="97">
        <f>D$15</f>
        <v>1</v>
      </c>
      <c r="K667" s="95" t="str">
        <f t="shared" ca="1" si="249"/>
        <v>SR</v>
      </c>
      <c r="L667" s="95" t="str">
        <f t="shared" ca="1" si="250"/>
        <v>0</v>
      </c>
      <c r="M667" s="95" t="str">
        <f t="shared" ca="1" si="251"/>
        <v>0</v>
      </c>
      <c r="N667" s="95" t="str">
        <f t="shared" ca="1" si="252"/>
        <v>0</v>
      </c>
      <c r="O667" s="95" t="str">
        <f t="shared" ca="1" si="253"/>
        <v>0</v>
      </c>
      <c r="P667" s="95" t="str">
        <f t="shared" ca="1" si="254"/>
        <v>0</v>
      </c>
      <c r="Q667" s="95">
        <f ca="1">IF(AND(G667=T$15,LEN(G667)&gt;1),1,0)</f>
        <v>0</v>
      </c>
      <c r="R667" s="97">
        <f>Doubles!G$15</f>
        <v>14</v>
      </c>
      <c r="S667" s="95">
        <f ca="1">IF(AND(H667=H$15,LEN(H667)&gt;1,Q667=1),1,0)</f>
        <v>0</v>
      </c>
      <c r="T667" s="95" t="s">
        <v>127</v>
      </c>
      <c r="U667" s="95" t="str">
        <f>IF(Doubles!$D$22=$F$26,IF(T663&gt;T664,B653&amp;"/"&amp;B705,IF(T663&lt;T664,B679&amp;"/"&amp;B731,IF(U663&gt;U664,B653&amp;"/"&amp;B705,IF(U663&lt;U664,B679&amp;"/"&amp;B731,"Tied, see shootout")))),"No decision yet")</f>
        <v>No decision yet</v>
      </c>
      <c r="V667" s="97">
        <f ca="1">VLOOKUP(14,R654:S677,2,0)</f>
        <v>0</v>
      </c>
      <c r="W667" s="95" t="str">
        <f t="shared" ca="1" si="255"/>
        <v/>
      </c>
      <c r="X667" s="95">
        <f ca="1">IF(F$15=0,IF(AND(G667=G719,NOT(G667=G693),NOT(G667=G745),LEN(W667)&gt;0),2,IF(LEN(W667)=0,0,1)),0)</f>
        <v>0</v>
      </c>
      <c r="Y667" s="95" t="str">
        <f t="shared" ca="1" si="256"/>
        <v xml:space="preserve"> 0-0</v>
      </c>
      <c r="Z667" s="95" t="str">
        <f t="shared" ca="1" si="257"/>
        <v xml:space="preserve"> 0-0</v>
      </c>
      <c r="AA667" s="95" t="str">
        <f t="shared" ca="1" si="258"/>
        <v xml:space="preserve"> 0-0</v>
      </c>
      <c r="AB667" s="95" t="str">
        <f t="shared" ca="1" si="259"/>
        <v xml:space="preserve"> 0-0</v>
      </c>
      <c r="AC667" s="95" t="str">
        <f ca="1">IF(AND(LEN(W667)&gt;0,F$15=0),IF(X667=2,W667&amp;" +2, ",W667&amp;", "),"")</f>
        <v/>
      </c>
    </row>
    <row r="668" spans="1:29">
      <c r="A668" s="95">
        <v>15</v>
      </c>
      <c r="B668" s="95">
        <f ca="1">IF(Doubles!J105="",0,Doubles!J105)</f>
        <v>0</v>
      </c>
      <c r="C668" s="99" t="str">
        <f ca="1">IF(OR(LEFT(B668,LEN(B$16))=B$16,LEFT(B668,LEN(C$16))=C$16,LEN(B668)&lt;2),"",IF(B668="no pick","","Wrong pick"))</f>
        <v/>
      </c>
      <c r="D668" s="95">
        <f t="shared" ca="1" si="246"/>
        <v>0</v>
      </c>
      <c r="E668" s="95">
        <f t="shared" ca="1" si="247"/>
        <v>1</v>
      </c>
      <c r="G668" s="95" t="str">
        <f ca="1">IF(B668=0,"",IF(B668="no pick","No Pick",IF(LEFT(B668,LEN(B$16))=B$16,B$16,C$16)))</f>
        <v/>
      </c>
      <c r="H668" s="95" t="str">
        <f t="shared" ca="1" si="248"/>
        <v>0-0</v>
      </c>
      <c r="I668" s="95" t="str">
        <f ca="1">IF(AND(J668=$I$2,F$16=0,NOT(E$16="")),IF(OR(AND(Y668=AA668,Z668=AB668),AND(Y668=AB668,Z668=AA668)),"",IF(AND(Y668=Z668,AA668=AB668),Y668&amp;" +2 v. "&amp;AA668&amp;" +2, ",IF(Y668=AA668,Z668&amp;" v. "&amp;AB668&amp;", ",IF(Z668=AB668,Y668&amp;" v. "&amp;AA668&amp;", ",IF(Y668=AB668,Z668&amp;" v. "&amp;AA668&amp;", ",IF(Z668=AA668,Y668&amp;" v. "&amp;AB668&amp;", ",Y668&amp;" v. "&amp;AA668&amp;", "&amp;Z668&amp;" v. "&amp;AB668&amp;", ")))))),"")</f>
        <v/>
      </c>
      <c r="J668" s="97">
        <f>D$16</f>
        <v>1</v>
      </c>
      <c r="K668" s="95" t="str">
        <f t="shared" ca="1" si="249"/>
        <v>SR</v>
      </c>
      <c r="L668" s="95" t="str">
        <f t="shared" ca="1" si="250"/>
        <v>0</v>
      </c>
      <c r="M668" s="95" t="str">
        <f t="shared" ca="1" si="251"/>
        <v>0</v>
      </c>
      <c r="N668" s="95" t="str">
        <f t="shared" ca="1" si="252"/>
        <v>0</v>
      </c>
      <c r="O668" s="95" t="str">
        <f t="shared" ca="1" si="253"/>
        <v>0</v>
      </c>
      <c r="P668" s="95" t="str">
        <f t="shared" ca="1" si="254"/>
        <v>0</v>
      </c>
      <c r="Q668" s="95">
        <f ca="1">IF(AND(G668=T$16,LEN(G668)&gt;1),1,0)</f>
        <v>0</v>
      </c>
      <c r="R668" s="97">
        <f>Doubles!G$16</f>
        <v>15</v>
      </c>
      <c r="S668" s="95">
        <f ca="1">IF(AND(H668=H$16,LEN(H668)&gt;1,Q668=1),1,0)</f>
        <v>0</v>
      </c>
      <c r="T668" s="95" t="s">
        <v>128</v>
      </c>
      <c r="U668" s="95" t="e">
        <f ca="1">IF(T663&lt;10,"0","")&amp;T663&amp;":"&amp;IF(T664&lt;10,"0","")&amp;T664&amp;" | "&amp;IF(AND(A653&gt;0,A653&lt;33,B653&amp;"/"&amp;B705=U667),"[b][color=Blue]"&amp;T653&amp;"/"&amp;T705&amp;" ("&amp;D653&amp;"/"&amp;D705&amp;")[/color][/b]",IF(B653&amp;"/"&amp;B705=U667,"[color=Blue]"&amp;T653&amp;"/"&amp;T705&amp;" ("&amp;D653&amp;"/"&amp;D705&amp;")[/color]",IF(AND(A653&gt;0,A653&lt;33),"[b]"&amp;T653&amp;"/"&amp;T705&amp;" ("&amp;D653&amp;"/"&amp;D705&amp;")[/b]",T653&amp;"/"&amp;T705&amp;IF(LEN(D653)&gt;1," ("&amp;D653&amp;"/"&amp;D705&amp;")",""))))&amp;" vs. "&amp;IF(AND(A679&gt;0,A679&lt;33,B679&amp;"/"&amp;B731=U667),"[b][color=Blue]"&amp;T679&amp;"/"&amp;T731&amp;" ("&amp;D679&amp;"/"&amp;D731&amp;")[/color][/b]",IF(B679&amp;"/"&amp;B731=U667,"[color=Blue]"&amp;T679&amp;"/"&amp;T731&amp;" ("&amp;D679&amp;"/"&amp;D731&amp;")[/color]",IF(AND(A679&gt;0,A679&lt;33),"[b]"&amp;T679&amp;"/"&amp;T731&amp;" ("&amp;D679&amp;"/"&amp;D731&amp;")[/b]",T679&amp;"/"&amp;T731&amp;IF(LEN(D679)&gt;1," ("&amp;D679&amp;"/"&amp;D731&amp;")",""))))&amp;IF(OR(Doubles!$D$25="yes",T663=T664)," #SRs: "&amp;U663&amp;"-"&amp;U664,"")</f>
        <v>#N/A</v>
      </c>
      <c r="V668" s="97">
        <f ca="1">VLOOKUP(15,R654:S677,2,0)</f>
        <v>0</v>
      </c>
      <c r="W668" s="95" t="str">
        <f t="shared" ca="1" si="255"/>
        <v/>
      </c>
      <c r="X668" s="95">
        <f ca="1">IF(F$16=0,IF(AND(G668=G720,NOT(G668=G694),NOT(G668=G746),LEN(W668)&gt;0),2,IF(LEN(W668)=0,0,1)),0)</f>
        <v>0</v>
      </c>
      <c r="Y668" s="95" t="str">
        <f t="shared" ca="1" si="256"/>
        <v xml:space="preserve"> 0-0</v>
      </c>
      <c r="Z668" s="95" t="str">
        <f t="shared" ca="1" si="257"/>
        <v xml:space="preserve"> 0-0</v>
      </c>
      <c r="AA668" s="95" t="str">
        <f t="shared" ca="1" si="258"/>
        <v xml:space="preserve"> 0-0</v>
      </c>
      <c r="AB668" s="95" t="str">
        <f t="shared" ca="1" si="259"/>
        <v xml:space="preserve"> 0-0</v>
      </c>
      <c r="AC668" s="95" t="str">
        <f ca="1">IF(AND(LEN(W668)&gt;0,F$16=0),IF(X668=2,W668&amp;" +2, ",W668&amp;", "),"")</f>
        <v/>
      </c>
    </row>
    <row r="669" spans="1:29">
      <c r="A669" s="95">
        <v>16</v>
      </c>
      <c r="B669" s="95">
        <f ca="1">IF(Doubles!J106="",0,Doubles!J106)</f>
        <v>0</v>
      </c>
      <c r="C669" s="99" t="str">
        <f ca="1">IF(OR(LEFT(B669,LEN(B$17))=B$17,LEFT(B669,LEN(C$17))=C$17,LEN(B669)&lt;2),"",IF(B669="no pick","","Wrong pick"))</f>
        <v/>
      </c>
      <c r="D669" s="95">
        <f t="shared" ca="1" si="246"/>
        <v>0</v>
      </c>
      <c r="E669" s="95">
        <f t="shared" ca="1" si="247"/>
        <v>1</v>
      </c>
      <c r="G669" s="95" t="str">
        <f ca="1">IF(B669=0,"",IF(B669="no pick","No Pick",IF(LEFT(B669,LEN(B$17))=B$17,B$17,C$17)))</f>
        <v/>
      </c>
      <c r="H669" s="95" t="str">
        <f t="shared" ca="1" si="248"/>
        <v>0-0</v>
      </c>
      <c r="I669" s="95" t="str">
        <f ca="1">IF(AND(J669=$I$2,F$17=0,NOT(E$17="")),IF(OR(AND(Y669=AA669,Z669=AB669),AND(Y669=AB669,Z669=AA669)),"",IF(AND(Y669=Z669,AA669=AB669),Y669&amp;" +2 v. "&amp;AA669&amp;" +2, ",IF(Y669=AA669,Z669&amp;" v. "&amp;AB669&amp;", ",IF(Z669=AB669,Y669&amp;" v. "&amp;AA669&amp;", ",IF(Y669=AB669,Z669&amp;" v. "&amp;AA669&amp;", ",IF(Z669=AA669,Y669&amp;" v. "&amp;AB669&amp;", ",Y669&amp;" v. "&amp;AA669&amp;", "&amp;Z669&amp;" v. "&amp;AB669&amp;", ")))))),"")</f>
        <v/>
      </c>
      <c r="J669" s="97">
        <f>D$17</f>
        <v>1</v>
      </c>
      <c r="K669" s="95" t="str">
        <f t="shared" ca="1" si="249"/>
        <v>SR</v>
      </c>
      <c r="L669" s="95" t="str">
        <f t="shared" ca="1" si="250"/>
        <v>0</v>
      </c>
      <c r="M669" s="95" t="str">
        <f t="shared" ca="1" si="251"/>
        <v>0</v>
      </c>
      <c r="N669" s="95" t="str">
        <f t="shared" ca="1" si="252"/>
        <v>0</v>
      </c>
      <c r="O669" s="95" t="str">
        <f t="shared" ca="1" si="253"/>
        <v>0</v>
      </c>
      <c r="P669" s="95" t="str">
        <f t="shared" ca="1" si="254"/>
        <v>0</v>
      </c>
      <c r="Q669" s="95">
        <f ca="1">IF(AND(G669=T$17,LEN(G669)&gt;1),1,0)</f>
        <v>0</v>
      </c>
      <c r="R669" s="97">
        <f>Doubles!G$17</f>
        <v>16</v>
      </c>
      <c r="S669" s="95">
        <f ca="1">IF(AND(H669=H$17,LEN(H669)&gt;1,Q669=1),1,0)</f>
        <v>0</v>
      </c>
      <c r="V669" s="97">
        <f ca="1">VLOOKUP(16,R654:S677,2,0)</f>
        <v>0</v>
      </c>
      <c r="W669" s="95" t="str">
        <f t="shared" ca="1" si="255"/>
        <v/>
      </c>
      <c r="X669" s="95">
        <f ca="1">IF(F$17=0,IF(AND(G669=G721,NOT(G669=G695),NOT(G669=G747),LEN(W669)&gt;0),2,IF(LEN(W669)=0,0,1)),0)</f>
        <v>0</v>
      </c>
      <c r="Y669" s="95" t="str">
        <f t="shared" ca="1" si="256"/>
        <v xml:space="preserve"> 0-0</v>
      </c>
      <c r="Z669" s="95" t="str">
        <f t="shared" ca="1" si="257"/>
        <v xml:space="preserve"> 0-0</v>
      </c>
      <c r="AA669" s="95" t="str">
        <f t="shared" ca="1" si="258"/>
        <v xml:space="preserve"> 0-0</v>
      </c>
      <c r="AB669" s="95" t="str">
        <f t="shared" ca="1" si="259"/>
        <v xml:space="preserve"> 0-0</v>
      </c>
      <c r="AC669" s="95" t="str">
        <f ca="1">IF(AND(LEN(W669)&gt;0,F$17=0),IF(X669=2,W669&amp;" +2, ",W669&amp;", "),"")</f>
        <v/>
      </c>
    </row>
    <row r="670" spans="1:29">
      <c r="A670" s="95">
        <v>17</v>
      </c>
      <c r="B670" s="95">
        <f>IF(Doubles!J107="",0,Doubles!J107)</f>
        <v>0</v>
      </c>
      <c r="C670" s="99" t="str">
        <f>IF(OR(LEFT(B670,LEN(B$18))=B$18,LEFT(B670,LEN(C$18))=C$18,LEN(B670)&lt;2),"",IF(B670="no pick","","Wrong pick"))</f>
        <v/>
      </c>
      <c r="D670" s="95">
        <f t="shared" si="246"/>
        <v>0</v>
      </c>
      <c r="E670" s="95">
        <f t="shared" si="247"/>
        <v>0</v>
      </c>
      <c r="G670" s="95" t="str">
        <f>IF(B670=0,"",IF(B670="no pick","No Pick",IF(LEFT(B670,LEN(B$18))=B$18,B$18,C$18)))</f>
        <v/>
      </c>
      <c r="H670" s="95" t="str">
        <f t="shared" si="248"/>
        <v>0-0</v>
      </c>
      <c r="I670" s="95" t="str">
        <f>IF(AND(J670=$I$2,F$18=0,NOT(E$18="")),IF(OR(AND(Y670=AA670,Z670=AB670),AND(Y670=AB670,Z670=AA670)),"",IF(AND(Y670=Z670,AA670=AB670),Y670&amp;" +2 v. "&amp;AA670&amp;" +2, ",IF(Y670=AA670,Z670&amp;" v. "&amp;AB670&amp;", ",IF(Z670=AB670,Y670&amp;" v. "&amp;AA670&amp;", ",IF(Y670=AB670,Z670&amp;" v. "&amp;AA670&amp;", ",IF(Z670=AA670,Y670&amp;" v. "&amp;AB670&amp;", ",Y670&amp;" v. "&amp;AA670&amp;", "&amp;Z670&amp;" v. "&amp;AB670&amp;", ")))))),"")</f>
        <v/>
      </c>
      <c r="J670" s="95">
        <f>D$18</f>
        <v>0</v>
      </c>
      <c r="K670" s="95" t="str">
        <f t="shared" si="249"/>
        <v>SR</v>
      </c>
      <c r="L670" s="95" t="str">
        <f t="shared" si="250"/>
        <v>0</v>
      </c>
      <c r="M670" s="95" t="str">
        <f t="shared" si="251"/>
        <v>0</v>
      </c>
      <c r="N670" s="95" t="str">
        <f t="shared" si="252"/>
        <v>0</v>
      </c>
      <c r="O670" s="95" t="str">
        <f t="shared" si="253"/>
        <v>0</v>
      </c>
      <c r="P670" s="95" t="str">
        <f t="shared" si="254"/>
        <v>0</v>
      </c>
      <c r="Q670" s="95">
        <f>IF(AND(G670=T$18,LEN(G670)&gt;1),1,0)</f>
        <v>0</v>
      </c>
      <c r="R670" s="97">
        <f>Doubles!G$18</f>
        <v>17</v>
      </c>
      <c r="S670" s="95">
        <f>IF(AND(H670=H$18,LEN(H670)&gt;1,Q670=1),1,0)</f>
        <v>0</v>
      </c>
      <c r="T670" s="95" t="str">
        <f>IF(Doubles!$D$22=$F$26,IF(T663&gt;T664,B653,IF(T663&lt;T664,B679,IF(U663&gt;U664,B653,IF(U663&lt;U664,B679,"")))),"")</f>
        <v/>
      </c>
      <c r="U670" s="95" t="str">
        <f>IF(Doubles!$D$22=$F$26,IF(T663&gt;T664,B705,IF(T663&lt;T664,B731,IF(U663&gt;U664,B705,IF(U663&lt;U664,B731,"")))),"")</f>
        <v/>
      </c>
      <c r="V670" s="95">
        <f>VLOOKUP(17,R654:S677,2,0)</f>
        <v>0</v>
      </c>
      <c r="W670" s="95" t="str">
        <f t="shared" si="255"/>
        <v/>
      </c>
      <c r="X670" s="95">
        <f>IF(F$18=0,IF(AND(G670=G722,NOT(G670=G696),NOT(G670=G748),LEN(W670)&gt;0),2,IF(LEN(W670)=0,0,1)),0)</f>
        <v>0</v>
      </c>
      <c r="Y670" s="95" t="str">
        <f t="shared" si="256"/>
        <v xml:space="preserve"> 0-0</v>
      </c>
      <c r="Z670" s="95" t="str">
        <f t="shared" si="257"/>
        <v xml:space="preserve"> 0-0</v>
      </c>
      <c r="AA670" s="95" t="str">
        <f t="shared" si="258"/>
        <v xml:space="preserve"> 0-0</v>
      </c>
      <c r="AB670" s="95" t="str">
        <f t="shared" si="259"/>
        <v xml:space="preserve"> 0-0</v>
      </c>
      <c r="AC670" s="95" t="str">
        <f>IF(AND(LEN(W670)&gt;0,F$18=0),IF(X670=2,W670&amp;" +2, ",W670&amp;", "),"")</f>
        <v/>
      </c>
    </row>
    <row r="671" spans="1:29">
      <c r="A671" s="95">
        <v>18</v>
      </c>
      <c r="B671" s="95">
        <f>IF(Doubles!J108="",0,Doubles!J108)</f>
        <v>0</v>
      </c>
      <c r="C671" s="99" t="str">
        <f>IF(OR(LEFT(B671,LEN(B$19))=B$19,LEFT(B671,LEN(C$19))=C$19,LEN(B671)&lt;2),"",IF(B671="no pick","","Wrong pick"))</f>
        <v/>
      </c>
      <c r="D671" s="95">
        <f t="shared" si="246"/>
        <v>0</v>
      </c>
      <c r="E671" s="95">
        <f t="shared" si="247"/>
        <v>0</v>
      </c>
      <c r="G671" s="95" t="str">
        <f>IF(B671=0,"",IF(B671="no pick","No Pick",IF(LEFT(B671,LEN(B$19))=B$19,B$19,C$19)))</f>
        <v/>
      </c>
      <c r="H671" s="95" t="str">
        <f t="shared" si="248"/>
        <v>0-0</v>
      </c>
      <c r="I671" s="95" t="str">
        <f>IF(AND(J671=$I$2,F$19=0,NOT(E$19="")),IF(OR(AND(Y671=AA671,Z671=AB671),AND(Y671=AB671,Z671=AA671)),"",IF(AND(Y671=Z671,AA671=AB671),Y671&amp;" +2 v. "&amp;AA671&amp;" +2, ",IF(Y671=AA671,Z671&amp;" v. "&amp;AB671&amp;", ",IF(Z671=AB671,Y671&amp;" v. "&amp;AA671&amp;", ",IF(Y671=AB671,Z671&amp;" v. "&amp;AA671&amp;", ",IF(Z671=AA671,Y671&amp;" v. "&amp;AB671&amp;", ",Y671&amp;" v. "&amp;AA671&amp;", "&amp;Z671&amp;" v. "&amp;AB671&amp;", ")))))),"")</f>
        <v/>
      </c>
      <c r="J671" s="95">
        <f>D$19</f>
        <v>0</v>
      </c>
      <c r="K671" s="95" t="str">
        <f t="shared" si="249"/>
        <v>SR</v>
      </c>
      <c r="L671" s="95" t="str">
        <f t="shared" si="250"/>
        <v>0</v>
      </c>
      <c r="M671" s="95" t="str">
        <f t="shared" si="251"/>
        <v>0</v>
      </c>
      <c r="N671" s="95" t="str">
        <f t="shared" si="252"/>
        <v>0</v>
      </c>
      <c r="O671" s="95" t="str">
        <f t="shared" si="253"/>
        <v>0</v>
      </c>
      <c r="P671" s="95" t="str">
        <f t="shared" si="254"/>
        <v>0</v>
      </c>
      <c r="Q671" s="95">
        <f>IF(AND(G671=T$19,LEN(G671)&gt;1),1,0)</f>
        <v>0</v>
      </c>
      <c r="R671" s="97">
        <f>Doubles!G$19</f>
        <v>18</v>
      </c>
      <c r="S671" s="95">
        <f>IF(AND(H671=H$19,LEN(H671)&gt;1,Q671=1),1,0)</f>
        <v>0</v>
      </c>
      <c r="V671" s="97">
        <f>VLOOKUP(18,R654:S677,2,0)</f>
        <v>0</v>
      </c>
      <c r="W671" s="95" t="str">
        <f t="shared" si="255"/>
        <v/>
      </c>
      <c r="X671" s="95">
        <f>IF(F$19=0,IF(AND(G671=G723,NOT(G671=G697),NOT(G671=G749),LEN(W671)&gt;0),2,IF(LEN(W671)=0,0,1)),0)</f>
        <v>0</v>
      </c>
      <c r="Y671" s="95" t="str">
        <f t="shared" si="256"/>
        <v xml:space="preserve"> 0-0</v>
      </c>
      <c r="Z671" s="95" t="str">
        <f t="shared" si="257"/>
        <v xml:space="preserve"> 0-0</v>
      </c>
      <c r="AA671" s="95" t="str">
        <f t="shared" si="258"/>
        <v xml:space="preserve"> 0-0</v>
      </c>
      <c r="AB671" s="95" t="str">
        <f t="shared" si="259"/>
        <v xml:space="preserve"> 0-0</v>
      </c>
      <c r="AC671" s="95" t="str">
        <f>IF(AND(LEN(W671)&gt;0,F$19=0),IF(X671=2,W671&amp;" +2, ",W671&amp;", "),"")</f>
        <v/>
      </c>
    </row>
    <row r="672" spans="1:29">
      <c r="A672" s="95">
        <v>19</v>
      </c>
      <c r="B672" s="95">
        <f>IF(Doubles!J109="",0,Doubles!J109)</f>
        <v>0</v>
      </c>
      <c r="C672" s="99" t="str">
        <f>IF(OR(LEFT(B672,LEN(B$20))=B$20,LEFT(B672,LEN(C$20))=C$20,LEN(B672)&lt;2),"",IF(B672="no pick","","Wrong pick"))</f>
        <v/>
      </c>
      <c r="D672" s="95">
        <f t="shared" si="246"/>
        <v>0</v>
      </c>
      <c r="E672" s="95">
        <f t="shared" si="247"/>
        <v>0</v>
      </c>
      <c r="G672" s="95" t="str">
        <f>IF(B672=0,"",IF(B672="no pick","No Pick",IF(LEFT(B672,LEN(B$20))=B$20,B$20,C$20)))</f>
        <v/>
      </c>
      <c r="H672" s="95" t="str">
        <f t="shared" si="248"/>
        <v>0-0</v>
      </c>
      <c r="I672" s="95" t="str">
        <f>IF(AND(J672=$I$2,F$20=0,NOT(E$20="")),IF(OR(AND(Y672=AA672,Z672=AB672),AND(Y672=AB672,Z672=AA672)),"",IF(AND(Y672=Z672,AA672=AB672),Y672&amp;" +2 v. "&amp;AA672&amp;" +2, ",IF(Y672=AA672,Z672&amp;" v. "&amp;AB672&amp;", ",IF(Z672=AB672,Y672&amp;" v. "&amp;AA672&amp;", ",IF(Y672=AB672,Z672&amp;" v. "&amp;AA672&amp;", ",IF(Z672=AA672,Y672&amp;" v. "&amp;AB672&amp;", ",Y672&amp;" v. "&amp;AA672&amp;", "&amp;Z672&amp;" v. "&amp;AB672&amp;", ")))))),"")</f>
        <v/>
      </c>
      <c r="J672" s="95">
        <f>D$20</f>
        <v>0</v>
      </c>
      <c r="K672" s="95" t="str">
        <f t="shared" si="249"/>
        <v>SR</v>
      </c>
      <c r="L672" s="95" t="str">
        <f t="shared" si="250"/>
        <v>0</v>
      </c>
      <c r="M672" s="95" t="str">
        <f t="shared" si="251"/>
        <v>0</v>
      </c>
      <c r="N672" s="95" t="str">
        <f t="shared" si="252"/>
        <v>0</v>
      </c>
      <c r="O672" s="95" t="str">
        <f t="shared" si="253"/>
        <v>0</v>
      </c>
      <c r="P672" s="95" t="str">
        <f t="shared" si="254"/>
        <v>0</v>
      </c>
      <c r="Q672" s="95">
        <f>IF(AND(G672=T$20,LEN(G672)&gt;1),1,0)</f>
        <v>0</v>
      </c>
      <c r="R672" s="97">
        <f>Doubles!G$20</f>
        <v>19</v>
      </c>
      <c r="S672" s="95">
        <f>IF(AND(H672=H$20,LEN(H672)&gt;1,Q672=1),1,0)</f>
        <v>0</v>
      </c>
      <c r="V672" s="97">
        <f>VLOOKUP(19,R654:S677,2,0)</f>
        <v>0</v>
      </c>
      <c r="W672" s="95" t="str">
        <f t="shared" si="255"/>
        <v/>
      </c>
      <c r="X672" s="95">
        <f>IF(F$20=0,IF(AND(G672=G724,NOT(G672=G698),NOT(G672=G750),LEN(W672)&gt;0),2,IF(LEN(W672)=0,0,1)),0)</f>
        <v>0</v>
      </c>
      <c r="Y672" s="95" t="str">
        <f t="shared" si="256"/>
        <v xml:space="preserve"> 0-0</v>
      </c>
      <c r="Z672" s="95" t="str">
        <f t="shared" si="257"/>
        <v xml:space="preserve"> 0-0</v>
      </c>
      <c r="AA672" s="95" t="str">
        <f t="shared" si="258"/>
        <v xml:space="preserve"> 0-0</v>
      </c>
      <c r="AB672" s="95" t="str">
        <f t="shared" si="259"/>
        <v xml:space="preserve"> 0-0</v>
      </c>
      <c r="AC672" s="95" t="str">
        <f>IF(AND(LEN(W672)&gt;0,F$20=0),IF(X672=2,W672&amp;" +2, ",W672&amp;", "),"")</f>
        <v/>
      </c>
    </row>
    <row r="673" spans="1:29">
      <c r="A673" s="95">
        <v>20</v>
      </c>
      <c r="B673" s="95">
        <f>IF(Doubles!J110="",0,Doubles!J110)</f>
        <v>0</v>
      </c>
      <c r="C673" s="99" t="str">
        <f>IF(OR(LEFT(B673,LEN(B$21))=B$21,LEFT(B673,LEN(C$21))=C$21,LEN(B673)&lt;2),"",IF(B673="no pick","","Wrong pick"))</f>
        <v/>
      </c>
      <c r="D673" s="95">
        <f t="shared" si="246"/>
        <v>0</v>
      </c>
      <c r="E673" s="95">
        <f t="shared" si="247"/>
        <v>0</v>
      </c>
      <c r="G673" s="95" t="str">
        <f>IF(B673=0,"",IF(B673="no pick","No Pick",IF(LEFT(B673,LEN(B$21))=B$21,B$21,C$21)))</f>
        <v/>
      </c>
      <c r="H673" s="95" t="str">
        <f t="shared" si="248"/>
        <v>0-0</v>
      </c>
      <c r="I673" s="95" t="str">
        <f>IF(AND(J673=$I$2,F$21=0,NOT(E$21="")),IF(OR(AND(Y673=AA673,Z673=AB673),AND(Y673=AB673,Z673=AA673)),"",IF(AND(Y673=Z673,AA673=AB673),Y673&amp;" +2 v. "&amp;AA673&amp;" +2, ",IF(Y673=AA673,Z673&amp;" v. "&amp;AB673&amp;", ",IF(Z673=AB673,Y673&amp;" v. "&amp;AA673&amp;", ",IF(Y673=AB673,Z673&amp;" v. "&amp;AA673&amp;", ",IF(Z673=AA673,Y673&amp;" v. "&amp;AB673&amp;", ",Y673&amp;" v. "&amp;AA673&amp;", "&amp;Z673&amp;" v. "&amp;AB673&amp;", ")))))),"")</f>
        <v/>
      </c>
      <c r="J673" s="95">
        <f>D$21</f>
        <v>0</v>
      </c>
      <c r="K673" s="95" t="str">
        <f t="shared" si="249"/>
        <v>SR</v>
      </c>
      <c r="L673" s="95" t="str">
        <f t="shared" si="250"/>
        <v>0</v>
      </c>
      <c r="M673" s="95" t="str">
        <f t="shared" si="251"/>
        <v>0</v>
      </c>
      <c r="N673" s="95" t="str">
        <f t="shared" si="252"/>
        <v>0</v>
      </c>
      <c r="O673" s="95" t="str">
        <f t="shared" si="253"/>
        <v>0</v>
      </c>
      <c r="P673" s="95" t="str">
        <f t="shared" si="254"/>
        <v>0</v>
      </c>
      <c r="Q673" s="95">
        <f>IF(AND(G673=T$21,LEN(G673)&gt;1),1,0)</f>
        <v>0</v>
      </c>
      <c r="R673" s="97">
        <f>Doubles!G$21</f>
        <v>20</v>
      </c>
      <c r="S673" s="95">
        <f>IF(AND(H673=H$21,LEN(H673)&gt;1,Q673=1),1,0)</f>
        <v>0</v>
      </c>
      <c r="V673" s="97">
        <f>VLOOKUP(20,R654:S677,2,0)</f>
        <v>0</v>
      </c>
      <c r="W673" s="95" t="str">
        <f t="shared" si="255"/>
        <v/>
      </c>
      <c r="X673" s="95">
        <f>IF(F$21=0,IF(AND(G673=G725,NOT(G673=G699),NOT(G673=G751),LEN(W673)&gt;0),2,IF(LEN(W673)=0,0,1)),0)</f>
        <v>0</v>
      </c>
      <c r="Y673" s="95" t="str">
        <f t="shared" si="256"/>
        <v xml:space="preserve"> 0-0</v>
      </c>
      <c r="Z673" s="95" t="str">
        <f t="shared" si="257"/>
        <v xml:space="preserve"> 0-0</v>
      </c>
      <c r="AA673" s="95" t="str">
        <f t="shared" si="258"/>
        <v xml:space="preserve"> 0-0</v>
      </c>
      <c r="AB673" s="95" t="str">
        <f t="shared" si="259"/>
        <v xml:space="preserve"> 0-0</v>
      </c>
      <c r="AC673" s="95" t="str">
        <f>IF(AND(LEN(W673)&gt;0,F$21=0),IF(X673=2,W673&amp;" +2, ",W673&amp;", "),"")</f>
        <v/>
      </c>
    </row>
    <row r="674" spans="1:29">
      <c r="A674" s="95">
        <v>21</v>
      </c>
      <c r="B674" s="95">
        <f>IF(Doubles!J111="",0,Doubles!J111)</f>
        <v>0</v>
      </c>
      <c r="C674" s="99" t="str">
        <f>IF(OR(LEFT(B674,LEN(B$22))=B$22,LEFT(B674,LEN(C$22))=C$22,LEN(B674)&lt;2),"",IF(B674="no pick","","Wrong pick"))</f>
        <v/>
      </c>
      <c r="D674" s="95">
        <f t="shared" si="246"/>
        <v>0</v>
      </c>
      <c r="E674" s="95">
        <f t="shared" si="247"/>
        <v>0</v>
      </c>
      <c r="G674" s="95" t="str">
        <f>IF(B674=0,"",IF(B674="no pick","No Pick",IF(LEFT(B674,LEN(B$22))=B$22,B$22,C$22)))</f>
        <v/>
      </c>
      <c r="H674" s="95" t="str">
        <f t="shared" si="248"/>
        <v>0-0</v>
      </c>
      <c r="I674" s="95" t="str">
        <f>IF(AND(J674=$I$2,F$22=0,NOT(E$22="")),IF(OR(AND(Y674=AA674,Z674=AB674),AND(Y674=AB674,Z674=AA674)),"",IF(AND(Y674=Z674,AA674=AB674),Y674&amp;" +2 v. "&amp;AA674&amp;" +2, ",IF(Y674=AA674,Z674&amp;" v. "&amp;AB674&amp;", ",IF(Z674=AB674,Y674&amp;" v. "&amp;AA674&amp;", ",IF(Y674=AB674,Z674&amp;" v. "&amp;AA674&amp;", ",IF(Z674=AA674,Y674&amp;" v. "&amp;AB674&amp;", ",Y674&amp;" v. "&amp;AA674&amp;", "&amp;Z674&amp;" v. "&amp;AB674&amp;", ")))))),"")</f>
        <v/>
      </c>
      <c r="J674" s="95">
        <f>D$22</f>
        <v>0</v>
      </c>
      <c r="K674" s="95" t="str">
        <f t="shared" si="249"/>
        <v>SR</v>
      </c>
      <c r="L674" s="95" t="str">
        <f t="shared" si="250"/>
        <v>0</v>
      </c>
      <c r="M674" s="95" t="str">
        <f t="shared" si="251"/>
        <v>0</v>
      </c>
      <c r="N674" s="95" t="str">
        <f t="shared" si="252"/>
        <v>0</v>
      </c>
      <c r="O674" s="95" t="str">
        <f t="shared" si="253"/>
        <v>0</v>
      </c>
      <c r="P674" s="95" t="str">
        <f t="shared" si="254"/>
        <v>0</v>
      </c>
      <c r="Q674" s="95">
        <f>IF(AND(G674=T$22,LEN(G674)&gt;1),1,0)</f>
        <v>0</v>
      </c>
      <c r="R674" s="97">
        <f>Doubles!G$22</f>
        <v>21</v>
      </c>
      <c r="S674" s="95">
        <f>IF(AND(H674=H$22,LEN(H674)&gt;1,Q674=1),1,0)</f>
        <v>0</v>
      </c>
      <c r="V674" s="97">
        <f>VLOOKUP(21,R654:S677,2,0)</f>
        <v>0</v>
      </c>
      <c r="W674" s="95" t="str">
        <f t="shared" si="255"/>
        <v/>
      </c>
      <c r="X674" s="95">
        <f>IF(F$22=0,IF(AND(G674=G726,NOT(G674=G700),NOT(G674=G752),LEN(W674)&gt;0),2,IF(LEN(W674)=0,0,1)),0)</f>
        <v>0</v>
      </c>
      <c r="Y674" s="95" t="str">
        <f t="shared" si="256"/>
        <v xml:space="preserve"> 0-0</v>
      </c>
      <c r="Z674" s="95" t="str">
        <f t="shared" si="257"/>
        <v xml:space="preserve"> 0-0</v>
      </c>
      <c r="AA674" s="95" t="str">
        <f t="shared" si="258"/>
        <v xml:space="preserve"> 0-0</v>
      </c>
      <c r="AB674" s="95" t="str">
        <f t="shared" si="259"/>
        <v xml:space="preserve"> 0-0</v>
      </c>
      <c r="AC674" s="95" t="str">
        <f>IF(AND(LEN(W674)&gt;0,F$22=0),IF(X674=2,W674&amp;" +2, ",W674&amp;", "),"")</f>
        <v/>
      </c>
    </row>
    <row r="675" spans="1:29">
      <c r="A675" s="95">
        <v>22</v>
      </c>
      <c r="B675" s="95">
        <f>IF(Doubles!J112="",0,Doubles!J112)</f>
        <v>0</v>
      </c>
      <c r="C675" s="99" t="str">
        <f>IF(OR(LEFT(B675,LEN(B$23))=B$23,LEFT(B675,LEN(C$23))=C$23,LEN(B675)&lt;2),"",IF(B675="no pick","","Wrong pick"))</f>
        <v/>
      </c>
      <c r="D675" s="95">
        <f t="shared" si="246"/>
        <v>0</v>
      </c>
      <c r="E675" s="95">
        <f t="shared" si="247"/>
        <v>0</v>
      </c>
      <c r="G675" s="95" t="str">
        <f>IF(B675=0,"",IF(B675="no pick","No Pick",IF(LEFT(B675,LEN(B$23))=B$23,B$23,C$23)))</f>
        <v/>
      </c>
      <c r="H675" s="95" t="str">
        <f t="shared" si="248"/>
        <v>0-0</v>
      </c>
      <c r="I675" s="95" t="str">
        <f>IF(AND(J675=$I$2,F$23=0,NOT(E$23="")),IF(OR(AND(Y675=AA675,Z675=AB675),AND(Y675=AB675,Z675=AA675)),"",IF(AND(Y675=Z675,AA675=AB675),Y675&amp;" +2 v. "&amp;AA675&amp;" +2, ",IF(Y675=AA675,Z675&amp;" v. "&amp;AB675&amp;", ",IF(Z675=AB675,Y675&amp;" v. "&amp;AA675&amp;", ",IF(Y675=AB675,Z675&amp;" v. "&amp;AA675&amp;", ",IF(Z675=AA675,Y675&amp;" v. "&amp;AB675&amp;", ",Y675&amp;" v. "&amp;AA675&amp;", "&amp;Z675&amp;" v. "&amp;AB675&amp;", ")))))),"")</f>
        <v/>
      </c>
      <c r="J675" s="95">
        <f>D$23</f>
        <v>0</v>
      </c>
      <c r="K675" s="95" t="str">
        <f t="shared" si="249"/>
        <v>SR</v>
      </c>
      <c r="L675" s="95" t="str">
        <f t="shared" si="250"/>
        <v>0</v>
      </c>
      <c r="M675" s="95" t="str">
        <f t="shared" si="251"/>
        <v>0</v>
      </c>
      <c r="N675" s="95" t="str">
        <f t="shared" si="252"/>
        <v>0</v>
      </c>
      <c r="O675" s="95" t="str">
        <f t="shared" si="253"/>
        <v>0</v>
      </c>
      <c r="P675" s="95" t="str">
        <f t="shared" si="254"/>
        <v>0</v>
      </c>
      <c r="Q675" s="95">
        <f>IF(AND(G675=T$23,LEN(G675)&gt;1),1,0)</f>
        <v>0</v>
      </c>
      <c r="R675" s="97">
        <f>Doubles!G$23</f>
        <v>22</v>
      </c>
      <c r="S675" s="95">
        <f>IF(AND(H675=H$23,LEN(H675)&gt;1,Q675=1),1,0)</f>
        <v>0</v>
      </c>
      <c r="V675" s="97">
        <f>VLOOKUP(22,R654:S677,2,0)</f>
        <v>0</v>
      </c>
      <c r="W675" s="95" t="str">
        <f t="shared" si="255"/>
        <v/>
      </c>
      <c r="X675" s="95">
        <f>IF(F$23=0,IF(AND(G675=G727,NOT(G675=G701),NOT(G675=G753),LEN(W675)&gt;0),2,IF(LEN(W675)=0,0,1)),0)</f>
        <v>0</v>
      </c>
      <c r="Y675" s="95" t="str">
        <f t="shared" si="256"/>
        <v xml:space="preserve"> 0-0</v>
      </c>
      <c r="Z675" s="95" t="str">
        <f t="shared" si="257"/>
        <v xml:space="preserve"> 0-0</v>
      </c>
      <c r="AA675" s="95" t="str">
        <f t="shared" si="258"/>
        <v xml:space="preserve"> 0-0</v>
      </c>
      <c r="AB675" s="95" t="str">
        <f t="shared" si="259"/>
        <v xml:space="preserve"> 0-0</v>
      </c>
      <c r="AC675" s="95" t="str">
        <f>IF(AND(LEN(W675)&gt;0,F$23=0),IF(X675=2,W675&amp;" +2, ",W675&amp;", "),"")</f>
        <v/>
      </c>
    </row>
    <row r="676" spans="1:29">
      <c r="A676" s="95">
        <v>23</v>
      </c>
      <c r="B676" s="95">
        <f>IF(Doubles!J113="",0,Doubles!J113)</f>
        <v>0</v>
      </c>
      <c r="C676" s="99" t="str">
        <f>IF(OR(LEFT(B676,LEN(B$24))=B$24,LEFT(B676,LEN(C$24))=C$24,LEN(B676)&lt;2),"",IF(B676="no pick","","Wrong pick"))</f>
        <v/>
      </c>
      <c r="D676" s="95">
        <f t="shared" si="246"/>
        <v>0</v>
      </c>
      <c r="E676" s="95">
        <f t="shared" si="247"/>
        <v>0</v>
      </c>
      <c r="G676" s="95" t="str">
        <f>IF(B676=0,"",IF(B676="no pick","No Pick",IF(LEFT(B676,LEN(B$24))=B$24,B$24,C$24)))</f>
        <v/>
      </c>
      <c r="H676" s="95" t="str">
        <f t="shared" si="248"/>
        <v>0-0</v>
      </c>
      <c r="I676" s="95" t="str">
        <f>IF(AND(J676=$I$2,F$24=0,NOT(E$24="")),IF(OR(AND(Y676=AA676,Z676=AB676),AND(Y676=AB676,Z676=AA676)),"",IF(AND(Y676=Z676,AA676=AB676),Y676&amp;" +2 v. "&amp;AA676&amp;" +2, ",IF(Y676=AA676,Z676&amp;" v. "&amp;AB676&amp;", ",IF(Z676=AB676,Y676&amp;" v. "&amp;AA676&amp;", ",IF(Y676=AB676,Z676&amp;" v. "&amp;AA676&amp;", ",IF(Z676=AA676,Y676&amp;" v. "&amp;AB676&amp;", ",Y676&amp;" v. "&amp;AA676&amp;", "&amp;Z676&amp;" v. "&amp;AB676&amp;", ")))))),"")</f>
        <v/>
      </c>
      <c r="J676" s="95">
        <f>D$24</f>
        <v>0</v>
      </c>
      <c r="K676" s="95" t="str">
        <f t="shared" si="249"/>
        <v>SR</v>
      </c>
      <c r="L676" s="95" t="str">
        <f t="shared" si="250"/>
        <v>0</v>
      </c>
      <c r="M676" s="95" t="str">
        <f t="shared" si="251"/>
        <v>0</v>
      </c>
      <c r="N676" s="95" t="str">
        <f t="shared" si="252"/>
        <v>0</v>
      </c>
      <c r="O676" s="95" t="str">
        <f t="shared" si="253"/>
        <v>0</v>
      </c>
      <c r="P676" s="95" t="str">
        <f t="shared" si="254"/>
        <v>0</v>
      </c>
      <c r="Q676" s="95">
        <f>IF(AND(G676=T$24,LEN(G676)&gt;1),1,0)</f>
        <v>0</v>
      </c>
      <c r="R676" s="97">
        <f>Doubles!G$24</f>
        <v>23</v>
      </c>
      <c r="S676" s="95">
        <f>IF(AND(H676=H$24,LEN(H676)&gt;1,Q676=1),1,0)</f>
        <v>0</v>
      </c>
      <c r="V676" s="97">
        <f>VLOOKUP(23,R654:S677,2,0)</f>
        <v>0</v>
      </c>
      <c r="W676" s="95" t="str">
        <f t="shared" si="255"/>
        <v/>
      </c>
      <c r="X676" s="95">
        <f>IF(F$24=0,IF(AND(G676=G728,NOT(G676=G702),NOT(G676=G754),LEN(W676)&gt;0),2,IF(LEN(W676)=0,0,1)),0)</f>
        <v>0</v>
      </c>
      <c r="Y676" s="95" t="str">
        <f t="shared" si="256"/>
        <v xml:space="preserve"> 0-0</v>
      </c>
      <c r="Z676" s="95" t="str">
        <f t="shared" si="257"/>
        <v xml:space="preserve"> 0-0</v>
      </c>
      <c r="AA676" s="95" t="str">
        <f t="shared" si="258"/>
        <v xml:space="preserve"> 0-0</v>
      </c>
      <c r="AB676" s="95" t="str">
        <f t="shared" si="259"/>
        <v xml:space="preserve"> 0-0</v>
      </c>
      <c r="AC676" s="95" t="str">
        <f>IF(AND(LEN(W676)&gt;0,F$24=0),IF(X676=2,W676&amp;" +2, ",W676&amp;", "),"")</f>
        <v/>
      </c>
    </row>
    <row r="677" spans="1:29">
      <c r="A677" s="95">
        <v>24</v>
      </c>
      <c r="B677" s="95">
        <f>IF(Doubles!J114="",0,Doubles!J114)</f>
        <v>0</v>
      </c>
      <c r="C677" s="99" t="str">
        <f>IF(OR(LEFT(B677,LEN(B$25))=B$25,LEFT(B677,LEN(C$25))=C$25,LEN(B677)&lt;2),"",IF(B677="no pick","","Wrong pick"))</f>
        <v/>
      </c>
      <c r="D677" s="95">
        <f t="shared" si="246"/>
        <v>0</v>
      </c>
      <c r="E677" s="95">
        <f t="shared" si="247"/>
        <v>0</v>
      </c>
      <c r="G677" s="95" t="str">
        <f>IF(B677=0,"",IF(B677="no pick","No Pick",IF(LEFT(B677,LEN(B$25))=B$25,B$25,C$25)))</f>
        <v/>
      </c>
      <c r="H677" s="95" t="str">
        <f t="shared" si="248"/>
        <v>0-0</v>
      </c>
      <c r="I677" s="95" t="str">
        <f>IF(AND(J677=$I$2,F$25=0,NOT(E$25="")),IF(OR(AND(Y677=AA677,Z677=AB677),AND(Y677=AB677,Z677=AA677)),"",IF(AND(Y677=Z677,AA677=AB677),Y677&amp;" +2 v. "&amp;AA677&amp;" +2, ",IF(Y677=AA677,Z677&amp;" v. "&amp;AB677&amp;", ",IF(Z677=AB677,Y677&amp;" v. "&amp;AA677&amp;", ",IF(Y677=AB677,Z677&amp;" v. "&amp;AA677&amp;", ",IF(Z677=AA677,Y677&amp;" v. "&amp;AB677&amp;", ",Y677&amp;" v. "&amp;AA677&amp;", "&amp;Z677&amp;" v. "&amp;AB677&amp;", ")))))),"")</f>
        <v/>
      </c>
      <c r="J677" s="95">
        <f>D$25</f>
        <v>0</v>
      </c>
      <c r="K677" s="95" t="str">
        <f t="shared" si="249"/>
        <v>SR</v>
      </c>
      <c r="L677" s="95" t="str">
        <f t="shared" si="250"/>
        <v>0</v>
      </c>
      <c r="M677" s="95" t="str">
        <f t="shared" si="251"/>
        <v>0</v>
      </c>
      <c r="N677" s="95" t="str">
        <f t="shared" si="252"/>
        <v>0</v>
      </c>
      <c r="O677" s="95" t="str">
        <f t="shared" si="253"/>
        <v>0</v>
      </c>
      <c r="P677" s="95" t="str">
        <f t="shared" si="254"/>
        <v>0</v>
      </c>
      <c r="Q677" s="95">
        <f>IF(AND(G677=T$25,LEN(G677)&gt;1),1,0)</f>
        <v>0</v>
      </c>
      <c r="R677" s="97">
        <f>Doubles!G$25</f>
        <v>24</v>
      </c>
      <c r="S677" s="95">
        <f>IF(AND(H677=H$25,LEN(H677)&gt;1,Q677=1),1,0)</f>
        <v>0</v>
      </c>
      <c r="V677" s="97">
        <f>VLOOKUP(24,R654:S677,2,0)</f>
        <v>0</v>
      </c>
      <c r="W677" s="95" t="str">
        <f t="shared" si="255"/>
        <v/>
      </c>
      <c r="X677" s="95">
        <f>IF(F$25=0,IF(AND(G677=G729,NOT(G677=G703),NOT(G677=G755),LEN(W677)&gt;0),2,IF(LEN(W677)=0,0,1)),0)</f>
        <v>0</v>
      </c>
      <c r="Y677" s="95" t="str">
        <f t="shared" si="256"/>
        <v xml:space="preserve"> 0-0</v>
      </c>
      <c r="Z677" s="95" t="str">
        <f t="shared" si="257"/>
        <v xml:space="preserve"> 0-0</v>
      </c>
      <c r="AA677" s="95" t="str">
        <f t="shared" si="258"/>
        <v xml:space="preserve"> 0-0</v>
      </c>
      <c r="AB677" s="95" t="str">
        <f t="shared" si="259"/>
        <v xml:space="preserve"> 0-0</v>
      </c>
      <c r="AC677" s="95" t="str">
        <f>IF(AND(LEN(W677)&gt;0,F$25=0),IF(X677=2,W677&amp;" +2, ",W677&amp;", "),"")</f>
        <v/>
      </c>
    </row>
    <row r="679" spans="1:29">
      <c r="A679" s="95" t="e">
        <f>IF(LEN(VLOOKUP(B679,Doubles!$A$2:$D$17,4,0))&gt;0,VLOOKUP(B679,Doubles!$A$2:$D$17,4,0),"")</f>
        <v>#N/A</v>
      </c>
      <c r="B679" s="96">
        <f>Doubles!L90</f>
        <v>0</v>
      </c>
      <c r="C679" s="96">
        <v>2</v>
      </c>
      <c r="D679" s="95" t="e">
        <f>VLOOKUP(B679,Doubles!$A$2:$E$17,5,0)</f>
        <v>#N/A</v>
      </c>
      <c r="J679" s="95" t="s">
        <v>88</v>
      </c>
      <c r="Q679" s="95" t="s">
        <v>121</v>
      </c>
      <c r="S679" s="95" t="s">
        <v>122</v>
      </c>
      <c r="T679" s="95" t="e">
        <f>IF(LEN(A679)&gt;0,"("&amp;A679&amp;") "&amp;B679,B679)</f>
        <v>#N/A</v>
      </c>
      <c r="V679" s="95" t="s">
        <v>122</v>
      </c>
      <c r="Z679" s="95" t="s">
        <v>129</v>
      </c>
    </row>
    <row r="680" spans="1:29">
      <c r="A680" s="95">
        <v>1</v>
      </c>
      <c r="B680" s="95">
        <f ca="1">IF(Doubles!L91="",0,Doubles!L91)</f>
        <v>0</v>
      </c>
      <c r="C680" s="99" t="str">
        <f ca="1">IF(OR(LEFT(B680,LEN(B$2))=B$2,LEFT(B680,LEN(C$2))=C$2,LEN(B680)&lt;2),"",IF(B680="no pick","","Wrong pick"))</f>
        <v/>
      </c>
      <c r="E680" s="95">
        <f t="shared" ref="E680:E703" ca="1" si="260">IF(AND($I$2=J680,B680=0),1,0)</f>
        <v>1</v>
      </c>
      <c r="F680" s="95" t="str">
        <f ca="1">IF(AND(SUM(E680:E703)=$I$4,NOT(B679="Bye")),"Missing picks from "&amp;B679&amp;" ","")</f>
        <v xml:space="preserve">Missing picks from 0 </v>
      </c>
      <c r="G680" s="95" t="str">
        <f ca="1">IF(B680=0,"",IF(B680="no pick","No Pick",IF(LEFT(B680,LEN(B$2))=B$2,B$2,C$2)))</f>
        <v/>
      </c>
      <c r="H680" s="95" t="str">
        <f t="shared" ref="H680:H703" ca="1" si="261">IF(L680="","",IF(K680="PTS",IF(LEN(O680)&lt;8,"2-0","2-1"),LEFT(O680,1)&amp;"-"&amp;RIGHT(O680,1)))</f>
        <v>0-0</v>
      </c>
      <c r="J680" s="97">
        <f>D$2</f>
        <v>1</v>
      </c>
      <c r="K680" s="95" t="str">
        <f t="shared" ref="K680:K703" ca="1" si="262">IF(LEN(L680)&gt;0,IF(LEN(O680)&lt;4,"SR","PTS"),"")</f>
        <v>SR</v>
      </c>
      <c r="L680" s="95" t="str">
        <f t="shared" ref="L680:L703" ca="1" si="263">TRIM(RIGHT(B680,LEN(B680)-LEN(G680)))</f>
        <v>0</v>
      </c>
      <c r="M680" s="95" t="str">
        <f t="shared" ref="M680:M703" ca="1" si="264">SUBSTITUTE(L680,"-","")</f>
        <v>0</v>
      </c>
      <c r="N680" s="95" t="str">
        <f t="shared" ref="N680:N703" ca="1" si="265">SUBSTITUTE(M680,","," ")</f>
        <v>0</v>
      </c>
      <c r="O680" s="95" t="str">
        <f t="shared" ref="O680:O703" ca="1" si="266">IF(AND(LEN(TRIM(SUBSTITUTE(P680,"/","")))&gt;6,OR(LEFT(TRIM(SUBSTITUTE(P680,"/","")),2)="20",LEFT(TRIM(SUBSTITUTE(P680,"/","")),2)="21")),RIGHT(TRIM(SUBSTITUTE(P680,"/","")),LEN(TRIM(SUBSTITUTE(P680,"/","")))-3),TRIM(SUBSTITUTE(P680,"/","")))</f>
        <v>0</v>
      </c>
      <c r="P680" s="95" t="str">
        <f t="shared" ref="P680:P703" ca="1" si="267">SUBSTITUTE(N680,":","")</f>
        <v>0</v>
      </c>
      <c r="Q680" s="95">
        <f ca="1">IF(AND(G680=T$2,LEN(G680)&gt;1),1,0)</f>
        <v>0</v>
      </c>
      <c r="R680" s="97">
        <f>Doubles!G$2</f>
        <v>1</v>
      </c>
      <c r="S680" s="95">
        <f ca="1">IF(AND(H680=H$2,LEN(H680)&gt;1,Q680=1),1,0)</f>
        <v>0</v>
      </c>
      <c r="V680" s="97">
        <f ca="1">VLOOKUP(1,R680:S703,2,0)</f>
        <v>0</v>
      </c>
      <c r="W680" s="95">
        <v>1</v>
      </c>
      <c r="Y680" s="95">
        <f ca="1">COUNTIF(X654:X677,"&gt;0")</f>
        <v>0</v>
      </c>
    </row>
    <row r="681" spans="1:29">
      <c r="A681" s="95">
        <v>2</v>
      </c>
      <c r="B681" s="95">
        <f ca="1">IF(Doubles!L92="",0,Doubles!L92)</f>
        <v>0</v>
      </c>
      <c r="C681" s="99" t="str">
        <f ca="1">IF(OR(LEFT(B681,LEN(B$3))=B$3,LEFT(B681,LEN(C$3))=C$3,LEN(B681)&lt;2),"",IF(B681="no pick","","Wrong pick"))</f>
        <v/>
      </c>
      <c r="E681" s="95">
        <f t="shared" ca="1" si="260"/>
        <v>1</v>
      </c>
      <c r="G681" s="95" t="str">
        <f ca="1">IF(B681=0,"",IF(B681="no pick","No Pick",IF(LEFT(B681,LEN(B$3))=B$3,B$3,C$3)))</f>
        <v/>
      </c>
      <c r="H681" s="95" t="str">
        <f t="shared" ca="1" si="261"/>
        <v>0-0</v>
      </c>
      <c r="J681" s="97">
        <f>D$3</f>
        <v>1</v>
      </c>
      <c r="K681" s="95" t="str">
        <f t="shared" ca="1" si="262"/>
        <v>SR</v>
      </c>
      <c r="L681" s="95" t="str">
        <f t="shared" ca="1" si="263"/>
        <v>0</v>
      </c>
      <c r="M681" s="95" t="str">
        <f t="shared" ca="1" si="264"/>
        <v>0</v>
      </c>
      <c r="N681" s="95" t="str">
        <f t="shared" ca="1" si="265"/>
        <v>0</v>
      </c>
      <c r="O681" s="95" t="str">
        <f t="shared" ca="1" si="266"/>
        <v>0</v>
      </c>
      <c r="P681" s="95" t="str">
        <f t="shared" ca="1" si="267"/>
        <v>0</v>
      </c>
      <c r="Q681" s="95">
        <f ca="1">IF(AND(G681=T$3,LEN(G681)&gt;1),1,0)</f>
        <v>0</v>
      </c>
      <c r="R681" s="97">
        <f>Doubles!G$3</f>
        <v>2</v>
      </c>
      <c r="S681" s="95">
        <f ca="1">IF(AND(H681=H$3,LEN(H681)&gt;1,Q681=1),1,0)</f>
        <v>0</v>
      </c>
      <c r="V681" s="97">
        <f ca="1">VLOOKUP(2,R680:S703,2,0)</f>
        <v>0</v>
      </c>
      <c r="W681" s="95">
        <v>2</v>
      </c>
    </row>
    <row r="682" spans="1:29">
      <c r="A682" s="95">
        <v>3</v>
      </c>
      <c r="B682" s="95">
        <f ca="1">IF(Doubles!L93="",0,Doubles!L93)</f>
        <v>0</v>
      </c>
      <c r="C682" s="99" t="str">
        <f ca="1">IF(OR(LEFT(B682,LEN(B$4))=B$4,LEFT(B682,LEN(C$4))=C$4,LEN(B682)&lt;2),"",IF(B682="no pick","","Wrong pick"))</f>
        <v/>
      </c>
      <c r="E682" s="95">
        <f t="shared" ca="1" si="260"/>
        <v>1</v>
      </c>
      <c r="G682" s="95" t="str">
        <f ca="1">IF(B682=0,"",IF(B682="no pick","No Pick",IF(LEFT(B682,LEN(B$4))=B$4,B$4,C$4)))</f>
        <v/>
      </c>
      <c r="H682" s="95" t="str">
        <f t="shared" ca="1" si="261"/>
        <v>0-0</v>
      </c>
      <c r="J682" s="97">
        <f>D$4</f>
        <v>1</v>
      </c>
      <c r="K682" s="95" t="str">
        <f t="shared" ca="1" si="262"/>
        <v>SR</v>
      </c>
      <c r="L682" s="95" t="str">
        <f t="shared" ca="1" si="263"/>
        <v>0</v>
      </c>
      <c r="M682" s="95" t="str">
        <f t="shared" ca="1" si="264"/>
        <v>0</v>
      </c>
      <c r="N682" s="95" t="str">
        <f t="shared" ca="1" si="265"/>
        <v>0</v>
      </c>
      <c r="O682" s="95" t="str">
        <f t="shared" ca="1" si="266"/>
        <v>0</v>
      </c>
      <c r="P682" s="95" t="str">
        <f t="shared" ca="1" si="267"/>
        <v>0</v>
      </c>
      <c r="Q682" s="95">
        <f ca="1">IF(AND(G682=T$4,LEN(G682)&gt;1),1,0)</f>
        <v>0</v>
      </c>
      <c r="R682" s="97">
        <f>Doubles!G$4</f>
        <v>3</v>
      </c>
      <c r="S682" s="95">
        <f ca="1">IF(AND(H682=H$4,LEN(H682)&gt;1,Q682=1),1,0)</f>
        <v>0</v>
      </c>
      <c r="V682" s="97">
        <f ca="1">VLOOKUP(3,R680:S703,2,0)</f>
        <v>0</v>
      </c>
      <c r="W682" s="95">
        <v>3</v>
      </c>
    </row>
    <row r="683" spans="1:29">
      <c r="A683" s="95">
        <v>4</v>
      </c>
      <c r="B683" s="95">
        <f ca="1">IF(Doubles!L94="",0,Doubles!L94)</f>
        <v>0</v>
      </c>
      <c r="C683" s="99" t="str">
        <f ca="1">IF(OR(LEFT(B683,LEN(B$5))=B$5,LEFT(B683,LEN(C$5))=C$5,LEN(B683)&lt;2),"",IF(B683="no pick","","Wrong pick"))</f>
        <v/>
      </c>
      <c r="E683" s="95">
        <f t="shared" ca="1" si="260"/>
        <v>1</v>
      </c>
      <c r="G683" s="95" t="str">
        <f ca="1">IF(B683=0,"",IF(B683="no pick","No Pick",IF(LEFT(B683,LEN(B$5))=B$5,B$5,C$5)))</f>
        <v/>
      </c>
      <c r="H683" s="95" t="str">
        <f t="shared" ca="1" si="261"/>
        <v>0-0</v>
      </c>
      <c r="J683" s="97">
        <f>D$5</f>
        <v>1</v>
      </c>
      <c r="K683" s="95" t="str">
        <f t="shared" ca="1" si="262"/>
        <v>SR</v>
      </c>
      <c r="L683" s="95" t="str">
        <f t="shared" ca="1" si="263"/>
        <v>0</v>
      </c>
      <c r="M683" s="95" t="str">
        <f t="shared" ca="1" si="264"/>
        <v>0</v>
      </c>
      <c r="N683" s="95" t="str">
        <f t="shared" ca="1" si="265"/>
        <v>0</v>
      </c>
      <c r="O683" s="95" t="str">
        <f t="shared" ca="1" si="266"/>
        <v>0</v>
      </c>
      <c r="P683" s="95" t="str">
        <f t="shared" ca="1" si="267"/>
        <v>0</v>
      </c>
      <c r="Q683" s="95">
        <f ca="1">IF(AND(G683=T$5,LEN(G683)&gt;1),1,0)</f>
        <v>0</v>
      </c>
      <c r="R683" s="97">
        <f>Doubles!G$5</f>
        <v>4</v>
      </c>
      <c r="S683" s="95">
        <f ca="1">IF(AND(H683=H$5,LEN(H683)&gt;1,Q683=1),1,0)</f>
        <v>0</v>
      </c>
      <c r="V683" s="97">
        <f ca="1">VLOOKUP(4,R680:S703,2,0)</f>
        <v>0</v>
      </c>
      <c r="W683" s="95">
        <v>4</v>
      </c>
    </row>
    <row r="684" spans="1:29">
      <c r="A684" s="95">
        <v>5</v>
      </c>
      <c r="B684" s="95">
        <f ca="1">IF(Doubles!L95="",0,Doubles!L95)</f>
        <v>0</v>
      </c>
      <c r="C684" s="99" t="str">
        <f ca="1">IF(OR(LEFT(B684,LEN(B$6))=B$6,LEFT(B684,LEN(C$6))=C$6,LEN(B684)&lt;2),"",IF(B684="no pick","","Wrong pick"))</f>
        <v/>
      </c>
      <c r="E684" s="95">
        <f t="shared" ca="1" si="260"/>
        <v>1</v>
      </c>
      <c r="G684" s="95" t="str">
        <f ca="1">IF(B684=0,"",IF(B684="no pick","No Pick",IF(LEFT(B684,LEN(B$6))=B$6,B$6,C$6)))</f>
        <v/>
      </c>
      <c r="H684" s="95" t="str">
        <f t="shared" ca="1" si="261"/>
        <v>0-0</v>
      </c>
      <c r="J684" s="97">
        <f>D$6</f>
        <v>1</v>
      </c>
      <c r="K684" s="95" t="str">
        <f t="shared" ca="1" si="262"/>
        <v>SR</v>
      </c>
      <c r="L684" s="95" t="str">
        <f t="shared" ca="1" si="263"/>
        <v>0</v>
      </c>
      <c r="M684" s="95" t="str">
        <f t="shared" ca="1" si="264"/>
        <v>0</v>
      </c>
      <c r="N684" s="95" t="str">
        <f t="shared" ca="1" si="265"/>
        <v>0</v>
      </c>
      <c r="O684" s="95" t="str">
        <f t="shared" ca="1" si="266"/>
        <v>0</v>
      </c>
      <c r="P684" s="95" t="str">
        <f t="shared" ca="1" si="267"/>
        <v>0</v>
      </c>
      <c r="Q684" s="95">
        <f ca="1">IF(AND(G684=T$6,LEN(G684)&gt;1),1,0)</f>
        <v>0</v>
      </c>
      <c r="R684" s="97">
        <f>Doubles!G$6</f>
        <v>5</v>
      </c>
      <c r="S684" s="95">
        <f ca="1">IF(AND(H684=H$6,LEN(H684)&gt;1,Q684=1),1,0)</f>
        <v>0</v>
      </c>
      <c r="V684" s="97">
        <f ca="1">VLOOKUP(5,R680:S703,2,0)</f>
        <v>0</v>
      </c>
      <c r="W684" s="95">
        <v>5</v>
      </c>
    </row>
    <row r="685" spans="1:29">
      <c r="A685" s="95">
        <v>6</v>
      </c>
      <c r="B685" s="95">
        <f ca="1">IF(Doubles!L96="",0,Doubles!L96)</f>
        <v>0</v>
      </c>
      <c r="C685" s="99" t="str">
        <f ca="1">IF(OR(LEFT(B685,LEN(B$7))=B$7,LEFT(B685,LEN(C$7))=C$7,LEN(B685)&lt;2),"",IF(B685="no pick","","Wrong pick"))</f>
        <v/>
      </c>
      <c r="E685" s="95">
        <f t="shared" ca="1" si="260"/>
        <v>1</v>
      </c>
      <c r="G685" s="95" t="str">
        <f ca="1">IF(B685=0,"",IF(B685="no pick","No Pick",IF(LEFT(B685,LEN(B$7))=B$7,B$7,C$7)))</f>
        <v/>
      </c>
      <c r="H685" s="95" t="str">
        <f t="shared" ca="1" si="261"/>
        <v>0-0</v>
      </c>
      <c r="J685" s="97">
        <f>D$7</f>
        <v>1</v>
      </c>
      <c r="K685" s="95" t="str">
        <f t="shared" ca="1" si="262"/>
        <v>SR</v>
      </c>
      <c r="L685" s="95" t="str">
        <f t="shared" ca="1" si="263"/>
        <v>0</v>
      </c>
      <c r="M685" s="95" t="str">
        <f t="shared" ca="1" si="264"/>
        <v>0</v>
      </c>
      <c r="N685" s="95" t="str">
        <f t="shared" ca="1" si="265"/>
        <v>0</v>
      </c>
      <c r="O685" s="95" t="str">
        <f t="shared" ca="1" si="266"/>
        <v>0</v>
      </c>
      <c r="P685" s="95" t="str">
        <f t="shared" ca="1" si="267"/>
        <v>0</v>
      </c>
      <c r="Q685" s="95">
        <f ca="1">IF(AND(G685=T$7,LEN(G685)&gt;1),1,0)</f>
        <v>0</v>
      </c>
      <c r="R685" s="97">
        <f>Doubles!G$7</f>
        <v>6</v>
      </c>
      <c r="S685" s="95">
        <f ca="1">IF(AND(H685=H$7,LEN(H685)&gt;1,Q685=1),1,0)</f>
        <v>0</v>
      </c>
      <c r="V685" s="97">
        <f ca="1">VLOOKUP(6,R680:S703,2,0)</f>
        <v>0</v>
      </c>
      <c r="W685" s="95">
        <v>6</v>
      </c>
    </row>
    <row r="686" spans="1:29">
      <c r="A686" s="95">
        <v>7</v>
      </c>
      <c r="B686" s="95">
        <f ca="1">IF(Doubles!L97="",0,Doubles!L97)</f>
        <v>0</v>
      </c>
      <c r="C686" s="99" t="str">
        <f ca="1">IF(OR(LEFT(B686,LEN(B$8))=B$8,LEFT(B686,LEN(C$8))=C$8,LEN(B686)&lt;2),"",IF(B686="no pick","","Wrong pick"))</f>
        <v/>
      </c>
      <c r="E686" s="95">
        <f t="shared" ca="1" si="260"/>
        <v>1</v>
      </c>
      <c r="G686" s="95" t="str">
        <f ca="1">IF(B686=0,"",IF(B686="no pick","No Pick",IF(LEFT(B686,LEN(B$8))=B$8,B$8,C$8)))</f>
        <v/>
      </c>
      <c r="H686" s="95" t="str">
        <f t="shared" ca="1" si="261"/>
        <v>0-0</v>
      </c>
      <c r="J686" s="97">
        <f>D$8</f>
        <v>1</v>
      </c>
      <c r="K686" s="95" t="str">
        <f t="shared" ca="1" si="262"/>
        <v>SR</v>
      </c>
      <c r="L686" s="95" t="str">
        <f t="shared" ca="1" si="263"/>
        <v>0</v>
      </c>
      <c r="M686" s="95" t="str">
        <f t="shared" ca="1" si="264"/>
        <v>0</v>
      </c>
      <c r="N686" s="95" t="str">
        <f t="shared" ca="1" si="265"/>
        <v>0</v>
      </c>
      <c r="O686" s="95" t="str">
        <f t="shared" ca="1" si="266"/>
        <v>0</v>
      </c>
      <c r="P686" s="95" t="str">
        <f t="shared" ca="1" si="267"/>
        <v>0</v>
      </c>
      <c r="Q686" s="95">
        <f ca="1">IF(AND(G686=T$8,LEN(G686)&gt;1),1,0)</f>
        <v>0</v>
      </c>
      <c r="R686" s="97">
        <f>Doubles!G$8</f>
        <v>7</v>
      </c>
      <c r="S686" s="95">
        <f ca="1">IF(AND(H686=H$8,LEN(H686)&gt;1,Q686=1),1,0)</f>
        <v>0</v>
      </c>
      <c r="V686" s="97">
        <f ca="1">VLOOKUP(7,R680:S703,2,0)</f>
        <v>0</v>
      </c>
      <c r="W686" s="95">
        <v>7</v>
      </c>
    </row>
    <row r="687" spans="1:29">
      <c r="A687" s="95">
        <v>8</v>
      </c>
      <c r="B687" s="95">
        <f ca="1">IF(Doubles!L98="",0,Doubles!L98)</f>
        <v>0</v>
      </c>
      <c r="C687" s="99" t="str">
        <f ca="1">IF(OR(LEFT(B687,LEN(B$9))=B$9,LEFT(B687,LEN(C$9))=C$9,LEN(B687)&lt;2),"",IF(B687="no pick","","Wrong pick"))</f>
        <v/>
      </c>
      <c r="E687" s="95">
        <f t="shared" ca="1" si="260"/>
        <v>1</v>
      </c>
      <c r="G687" s="95" t="str">
        <f ca="1">IF(B687=0,"",IF(B687="no pick","No Pick",IF(LEFT(B687,LEN(B$9))=B$9,B$9,C$9)))</f>
        <v/>
      </c>
      <c r="H687" s="95" t="str">
        <f t="shared" ca="1" si="261"/>
        <v>0-0</v>
      </c>
      <c r="J687" s="97">
        <f>D$9</f>
        <v>1</v>
      </c>
      <c r="K687" s="95" t="str">
        <f t="shared" ca="1" si="262"/>
        <v>SR</v>
      </c>
      <c r="L687" s="95" t="str">
        <f t="shared" ca="1" si="263"/>
        <v>0</v>
      </c>
      <c r="M687" s="95" t="str">
        <f t="shared" ca="1" si="264"/>
        <v>0</v>
      </c>
      <c r="N687" s="95" t="str">
        <f t="shared" ca="1" si="265"/>
        <v>0</v>
      </c>
      <c r="O687" s="95" t="str">
        <f t="shared" ca="1" si="266"/>
        <v>0</v>
      </c>
      <c r="P687" s="95" t="str">
        <f t="shared" ca="1" si="267"/>
        <v>0</v>
      </c>
      <c r="Q687" s="95">
        <f ca="1">IF(AND(G687=T$9,LEN(G687)&gt;1),1,0)</f>
        <v>0</v>
      </c>
      <c r="R687" s="97">
        <f>Doubles!G$9</f>
        <v>8</v>
      </c>
      <c r="S687" s="95">
        <f ca="1">IF(AND(H687=H$9,LEN(H687)&gt;1,Q687=1),1,0)</f>
        <v>0</v>
      </c>
      <c r="V687" s="97">
        <f ca="1">VLOOKUP(8,R680:S703,2,0)</f>
        <v>0</v>
      </c>
      <c r="W687" s="95">
        <v>8</v>
      </c>
    </row>
    <row r="688" spans="1:29">
      <c r="A688" s="95">
        <v>9</v>
      </c>
      <c r="B688" s="95">
        <f ca="1">IF(Doubles!L99="",0,Doubles!L99)</f>
        <v>0</v>
      </c>
      <c r="C688" s="99" t="str">
        <f ca="1">IF(OR(LEFT(B688,LEN(B$10))=B$10,LEFT(B688,LEN(C$10))=C$10,LEN(B688)&lt;2),"",IF(B688="no pick","","Wrong pick"))</f>
        <v/>
      </c>
      <c r="E688" s="95">
        <f t="shared" ca="1" si="260"/>
        <v>1</v>
      </c>
      <c r="G688" s="95" t="str">
        <f ca="1">IF(B688=0,"",IF(B688="no pick","No Pick",IF(LEFT(B688,LEN(B$10))=B$10,B$10,C$10)))</f>
        <v/>
      </c>
      <c r="H688" s="95" t="str">
        <f t="shared" ca="1" si="261"/>
        <v>0-0</v>
      </c>
      <c r="J688" s="97">
        <f>D$10</f>
        <v>1</v>
      </c>
      <c r="K688" s="95" t="str">
        <f t="shared" ca="1" si="262"/>
        <v>SR</v>
      </c>
      <c r="L688" s="95" t="str">
        <f t="shared" ca="1" si="263"/>
        <v>0</v>
      </c>
      <c r="M688" s="95" t="str">
        <f t="shared" ca="1" si="264"/>
        <v>0</v>
      </c>
      <c r="N688" s="95" t="str">
        <f t="shared" ca="1" si="265"/>
        <v>0</v>
      </c>
      <c r="O688" s="95" t="str">
        <f t="shared" ca="1" si="266"/>
        <v>0</v>
      </c>
      <c r="P688" s="95" t="str">
        <f t="shared" ca="1" si="267"/>
        <v>0</v>
      </c>
      <c r="Q688" s="95">
        <f ca="1">IF(AND(G688=T$10,LEN(G688)&gt;1),1,0)</f>
        <v>0</v>
      </c>
      <c r="R688" s="97">
        <f>Doubles!G$10</f>
        <v>9</v>
      </c>
      <c r="S688" s="95">
        <f ca="1">IF(AND(H688=H$10,LEN(H688)&gt;1,Q688=1),1,0)</f>
        <v>0</v>
      </c>
      <c r="V688" s="97">
        <f ca="1">VLOOKUP(9,R680:S703,2,0)</f>
        <v>0</v>
      </c>
      <c r="W688" s="95">
        <v>9</v>
      </c>
    </row>
    <row r="689" spans="1:23">
      <c r="A689" s="95">
        <v>10</v>
      </c>
      <c r="B689" s="95">
        <f ca="1">IF(Doubles!L100="",0,Doubles!L100)</f>
        <v>0</v>
      </c>
      <c r="C689" s="99" t="str">
        <f ca="1">IF(OR(LEFT(B689,LEN(B$11))=B$11,LEFT(B689,LEN(C$11))=C$11,LEN(B689)&lt;2),"",IF(B689="no pick","","Wrong pick"))</f>
        <v/>
      </c>
      <c r="E689" s="95">
        <f t="shared" ca="1" si="260"/>
        <v>1</v>
      </c>
      <c r="G689" s="95" t="str">
        <f ca="1">IF(B689=0,"",IF(B689="no pick","No Pick",IF(LEFT(B689,LEN(B$11))=B$11,B$11,C$11)))</f>
        <v/>
      </c>
      <c r="H689" s="95" t="str">
        <f t="shared" ca="1" si="261"/>
        <v>0-0</v>
      </c>
      <c r="J689" s="97">
        <f>D$11</f>
        <v>1</v>
      </c>
      <c r="K689" s="95" t="str">
        <f t="shared" ca="1" si="262"/>
        <v>SR</v>
      </c>
      <c r="L689" s="95" t="str">
        <f t="shared" ca="1" si="263"/>
        <v>0</v>
      </c>
      <c r="M689" s="95" t="str">
        <f t="shared" ca="1" si="264"/>
        <v>0</v>
      </c>
      <c r="N689" s="95" t="str">
        <f t="shared" ca="1" si="265"/>
        <v>0</v>
      </c>
      <c r="O689" s="95" t="str">
        <f t="shared" ca="1" si="266"/>
        <v>0</v>
      </c>
      <c r="P689" s="95" t="str">
        <f t="shared" ca="1" si="267"/>
        <v>0</v>
      </c>
      <c r="Q689" s="95">
        <f ca="1">IF(AND(G689=T$11,LEN(G689)&gt;1),1,0)</f>
        <v>0</v>
      </c>
      <c r="R689" s="97">
        <f>Doubles!G$11</f>
        <v>10</v>
      </c>
      <c r="S689" s="95">
        <f ca="1">IF(AND(H689=H$11,LEN(H689)&gt;1,Q689=1),1,0)</f>
        <v>0</v>
      </c>
      <c r="V689" s="97">
        <f ca="1">VLOOKUP(10,R680:S703,2,0)</f>
        <v>0</v>
      </c>
      <c r="W689" s="95">
        <v>10</v>
      </c>
    </row>
    <row r="690" spans="1:23">
      <c r="A690" s="95">
        <v>11</v>
      </c>
      <c r="B690" s="95">
        <f ca="1">IF(Doubles!L101="",0,Doubles!L101)</f>
        <v>0</v>
      </c>
      <c r="C690" s="99" t="str">
        <f ca="1">IF(OR(LEFT(B690,LEN(B$12))=B$12,LEFT(B690,LEN(C$12))=C$12,LEN(B690)&lt;2),"",IF(B690="no pick","","Wrong pick"))</f>
        <v/>
      </c>
      <c r="E690" s="95">
        <f t="shared" ca="1" si="260"/>
        <v>1</v>
      </c>
      <c r="G690" s="95" t="str">
        <f ca="1">IF(B690=0,"",IF(B690="no pick","No Pick",IF(LEFT(B690,LEN(B$12))=B$12,B$12,C$12)))</f>
        <v/>
      </c>
      <c r="H690" s="95" t="str">
        <f t="shared" ca="1" si="261"/>
        <v>0-0</v>
      </c>
      <c r="J690" s="97">
        <f>D$12</f>
        <v>1</v>
      </c>
      <c r="K690" s="95" t="str">
        <f t="shared" ca="1" si="262"/>
        <v>SR</v>
      </c>
      <c r="L690" s="95" t="str">
        <f t="shared" ca="1" si="263"/>
        <v>0</v>
      </c>
      <c r="M690" s="95" t="str">
        <f t="shared" ca="1" si="264"/>
        <v>0</v>
      </c>
      <c r="N690" s="95" t="str">
        <f t="shared" ca="1" si="265"/>
        <v>0</v>
      </c>
      <c r="O690" s="95" t="str">
        <f t="shared" ca="1" si="266"/>
        <v>0</v>
      </c>
      <c r="P690" s="95" t="str">
        <f t="shared" ca="1" si="267"/>
        <v>0</v>
      </c>
      <c r="Q690" s="95">
        <f ca="1">IF(AND(G690=T$12,LEN(G690)&gt;1),1,0)</f>
        <v>0</v>
      </c>
      <c r="R690" s="97">
        <f>Doubles!G$12</f>
        <v>11</v>
      </c>
      <c r="S690" s="95">
        <f ca="1">IF(AND(H690=H$12,LEN(H690)&gt;1,Q690=1),1,0)</f>
        <v>0</v>
      </c>
      <c r="V690" s="97">
        <f ca="1">VLOOKUP(11,R680:S703,2,0)</f>
        <v>0</v>
      </c>
      <c r="W690" s="95">
        <v>11</v>
      </c>
    </row>
    <row r="691" spans="1:23">
      <c r="A691" s="95">
        <v>12</v>
      </c>
      <c r="B691" s="95">
        <f ca="1">IF(Doubles!L102="",0,Doubles!L102)</f>
        <v>0</v>
      </c>
      <c r="C691" s="99" t="str">
        <f ca="1">IF(OR(LEFT(B691,LEN(B$13))=B$13,LEFT(B691,LEN(C$13))=C$13,LEN(B691)&lt;2),"",IF(B691="no pick","","Wrong pick"))</f>
        <v/>
      </c>
      <c r="E691" s="95">
        <f t="shared" ca="1" si="260"/>
        <v>1</v>
      </c>
      <c r="G691" s="95" t="str">
        <f ca="1">IF(B691=0,"",IF(B691="no pick","No Pick",IF(LEFT(B691,LEN(B$13))=B$13,B$13,C$13)))</f>
        <v/>
      </c>
      <c r="H691" s="95" t="str">
        <f t="shared" ca="1" si="261"/>
        <v>0-0</v>
      </c>
      <c r="J691" s="97">
        <f>D$13</f>
        <v>1</v>
      </c>
      <c r="K691" s="95" t="str">
        <f t="shared" ca="1" si="262"/>
        <v>SR</v>
      </c>
      <c r="L691" s="95" t="str">
        <f t="shared" ca="1" si="263"/>
        <v>0</v>
      </c>
      <c r="M691" s="95" t="str">
        <f t="shared" ca="1" si="264"/>
        <v>0</v>
      </c>
      <c r="N691" s="95" t="str">
        <f t="shared" ca="1" si="265"/>
        <v>0</v>
      </c>
      <c r="O691" s="95" t="str">
        <f t="shared" ca="1" si="266"/>
        <v>0</v>
      </c>
      <c r="P691" s="95" t="str">
        <f t="shared" ca="1" si="267"/>
        <v>0</v>
      </c>
      <c r="Q691" s="95">
        <f ca="1">IF(AND(G691=T$13,LEN(G691)&gt;1),1,0)</f>
        <v>0</v>
      </c>
      <c r="R691" s="97">
        <f>Doubles!G$13</f>
        <v>12</v>
      </c>
      <c r="S691" s="95">
        <f ca="1">IF(AND(H691=H$13,LEN(H691)&gt;1,Q691=1),1,0)</f>
        <v>0</v>
      </c>
      <c r="V691" s="97">
        <f ca="1">VLOOKUP(12,R680:S703,2,0)</f>
        <v>0</v>
      </c>
      <c r="W691" s="95">
        <v>12</v>
      </c>
    </row>
    <row r="692" spans="1:23">
      <c r="A692" s="95">
        <v>13</v>
      </c>
      <c r="B692" s="95">
        <f ca="1">IF(Doubles!L103="",0,Doubles!L103)</f>
        <v>0</v>
      </c>
      <c r="C692" s="99" t="str">
        <f ca="1">IF(OR(LEFT(B692,LEN(B$14))=B$14,LEFT(B692,LEN(C$14))=C$14,LEN(B692)&lt;2),"",IF(B692="no pick","","Wrong pick"))</f>
        <v/>
      </c>
      <c r="E692" s="95">
        <f t="shared" ca="1" si="260"/>
        <v>1</v>
      </c>
      <c r="G692" s="95" t="str">
        <f ca="1">IF(B692=0,"",IF(B692="no pick","No Pick",IF(LEFT(B692,LEN(B$14))=B$14,B$14,C$14)))</f>
        <v/>
      </c>
      <c r="H692" s="95" t="str">
        <f t="shared" ca="1" si="261"/>
        <v>0-0</v>
      </c>
      <c r="J692" s="97">
        <f>D$14</f>
        <v>1</v>
      </c>
      <c r="K692" s="95" t="str">
        <f t="shared" ca="1" si="262"/>
        <v>SR</v>
      </c>
      <c r="L692" s="95" t="str">
        <f t="shared" ca="1" si="263"/>
        <v>0</v>
      </c>
      <c r="M692" s="95" t="str">
        <f t="shared" ca="1" si="264"/>
        <v>0</v>
      </c>
      <c r="N692" s="95" t="str">
        <f t="shared" ca="1" si="265"/>
        <v>0</v>
      </c>
      <c r="O692" s="95" t="str">
        <f t="shared" ca="1" si="266"/>
        <v>0</v>
      </c>
      <c r="P692" s="95" t="str">
        <f t="shared" ca="1" si="267"/>
        <v>0</v>
      </c>
      <c r="Q692" s="95">
        <f ca="1">IF(AND(G692=T$14,LEN(G692)&gt;1),1,0)</f>
        <v>0</v>
      </c>
      <c r="R692" s="97">
        <f>Doubles!G$14</f>
        <v>13</v>
      </c>
      <c r="S692" s="95">
        <f ca="1">IF(AND(H692=H$14,LEN(H692)&gt;1,Q692=1),1,0)</f>
        <v>0</v>
      </c>
      <c r="V692" s="97">
        <f ca="1">VLOOKUP(13,R680:S703,2,0)</f>
        <v>0</v>
      </c>
      <c r="W692" s="95">
        <v>13</v>
      </c>
    </row>
    <row r="693" spans="1:23">
      <c r="A693" s="95">
        <v>14</v>
      </c>
      <c r="B693" s="95">
        <f ca="1">IF(Doubles!L104="",0,Doubles!L104)</f>
        <v>0</v>
      </c>
      <c r="C693" s="99" t="str">
        <f ca="1">IF(OR(LEFT(B693,LEN(B$15))=B$15,LEFT(B693,LEN(C$15))=C$15,LEN(B693)&lt;2),"",IF(B693="no pick","","Wrong pick"))</f>
        <v/>
      </c>
      <c r="E693" s="95">
        <f t="shared" ca="1" si="260"/>
        <v>1</v>
      </c>
      <c r="G693" s="95" t="str">
        <f ca="1">IF(B693=0,"",IF(B693="no pick","No Pick",IF(LEFT(B693,LEN(B$15))=B$15,B$15,C$15)))</f>
        <v/>
      </c>
      <c r="H693" s="95" t="str">
        <f t="shared" ca="1" si="261"/>
        <v>0-0</v>
      </c>
      <c r="J693" s="97">
        <f>D$15</f>
        <v>1</v>
      </c>
      <c r="K693" s="95" t="str">
        <f t="shared" ca="1" si="262"/>
        <v>SR</v>
      </c>
      <c r="L693" s="95" t="str">
        <f t="shared" ca="1" si="263"/>
        <v>0</v>
      </c>
      <c r="M693" s="95" t="str">
        <f t="shared" ca="1" si="264"/>
        <v>0</v>
      </c>
      <c r="N693" s="95" t="str">
        <f t="shared" ca="1" si="265"/>
        <v>0</v>
      </c>
      <c r="O693" s="95" t="str">
        <f t="shared" ca="1" si="266"/>
        <v>0</v>
      </c>
      <c r="P693" s="95" t="str">
        <f t="shared" ca="1" si="267"/>
        <v>0</v>
      </c>
      <c r="Q693" s="95">
        <f ca="1">IF(AND(G693=T$15,LEN(G693)&gt;1),1,0)</f>
        <v>0</v>
      </c>
      <c r="R693" s="97">
        <f>Doubles!G$15</f>
        <v>14</v>
      </c>
      <c r="S693" s="95">
        <f ca="1">IF(AND(H693=H$15,LEN(H693)&gt;1,Q693=1),1,0)</f>
        <v>0</v>
      </c>
      <c r="V693" s="97">
        <f ca="1">VLOOKUP(14,R680:S703,2,0)</f>
        <v>0</v>
      </c>
      <c r="W693" s="95">
        <v>14</v>
      </c>
    </row>
    <row r="694" spans="1:23">
      <c r="A694" s="95">
        <v>15</v>
      </c>
      <c r="B694" s="95">
        <f ca="1">IF(Doubles!L105="",0,Doubles!L105)</f>
        <v>0</v>
      </c>
      <c r="C694" s="99" t="str">
        <f ca="1">IF(OR(LEFT(B694,LEN(B$16))=B$16,LEFT(B694,LEN(C$16))=C$16,LEN(B694)&lt;2),"",IF(B694="no pick","","Wrong pick"))</f>
        <v/>
      </c>
      <c r="E694" s="95">
        <f t="shared" ca="1" si="260"/>
        <v>1</v>
      </c>
      <c r="G694" s="95" t="str">
        <f ca="1">IF(B694=0,"",IF(B694="no pick","No Pick",IF(LEFT(B694,LEN(B$16))=B$16,B$16,C$16)))</f>
        <v/>
      </c>
      <c r="H694" s="95" t="str">
        <f t="shared" ca="1" si="261"/>
        <v>0-0</v>
      </c>
      <c r="J694" s="97">
        <f>D$16</f>
        <v>1</v>
      </c>
      <c r="K694" s="95" t="str">
        <f t="shared" ca="1" si="262"/>
        <v>SR</v>
      </c>
      <c r="L694" s="95" t="str">
        <f t="shared" ca="1" si="263"/>
        <v>0</v>
      </c>
      <c r="M694" s="95" t="str">
        <f t="shared" ca="1" si="264"/>
        <v>0</v>
      </c>
      <c r="N694" s="95" t="str">
        <f t="shared" ca="1" si="265"/>
        <v>0</v>
      </c>
      <c r="O694" s="95" t="str">
        <f t="shared" ca="1" si="266"/>
        <v>0</v>
      </c>
      <c r="P694" s="95" t="str">
        <f t="shared" ca="1" si="267"/>
        <v>0</v>
      </c>
      <c r="Q694" s="95">
        <f ca="1">IF(AND(G694=T$16,LEN(G694)&gt;1),1,0)</f>
        <v>0</v>
      </c>
      <c r="R694" s="97">
        <f>Doubles!G$16</f>
        <v>15</v>
      </c>
      <c r="S694" s="95">
        <f ca="1">IF(AND(H694=H$16,LEN(H694)&gt;1,Q694=1),1,0)</f>
        <v>0</v>
      </c>
      <c r="V694" s="97">
        <f ca="1">VLOOKUP(15,R680:S703,2,0)</f>
        <v>0</v>
      </c>
      <c r="W694" s="95">
        <v>15</v>
      </c>
    </row>
    <row r="695" spans="1:23">
      <c r="A695" s="95">
        <v>16</v>
      </c>
      <c r="B695" s="95">
        <f ca="1">IF(Doubles!L106="",0,Doubles!L106)</f>
        <v>0</v>
      </c>
      <c r="C695" s="99" t="str">
        <f ca="1">IF(OR(LEFT(B695,LEN(B$17))=B$17,LEFT(B695,LEN(C$17))=C$17,LEN(B695)&lt;2),"",IF(B695="no pick","","Wrong pick"))</f>
        <v/>
      </c>
      <c r="E695" s="95">
        <f t="shared" ca="1" si="260"/>
        <v>1</v>
      </c>
      <c r="G695" s="95" t="str">
        <f ca="1">IF(B695=0,"",IF(B695="no pick","No Pick",IF(LEFT(B695,LEN(B$17))=B$17,B$17,C$17)))</f>
        <v/>
      </c>
      <c r="H695" s="95" t="str">
        <f t="shared" ca="1" si="261"/>
        <v>0-0</v>
      </c>
      <c r="J695" s="97">
        <f>D$17</f>
        <v>1</v>
      </c>
      <c r="K695" s="95" t="str">
        <f t="shared" ca="1" si="262"/>
        <v>SR</v>
      </c>
      <c r="L695" s="95" t="str">
        <f t="shared" ca="1" si="263"/>
        <v>0</v>
      </c>
      <c r="M695" s="95" t="str">
        <f t="shared" ca="1" si="264"/>
        <v>0</v>
      </c>
      <c r="N695" s="95" t="str">
        <f t="shared" ca="1" si="265"/>
        <v>0</v>
      </c>
      <c r="O695" s="95" t="str">
        <f t="shared" ca="1" si="266"/>
        <v>0</v>
      </c>
      <c r="P695" s="95" t="str">
        <f t="shared" ca="1" si="267"/>
        <v>0</v>
      </c>
      <c r="Q695" s="95">
        <f ca="1">IF(AND(G695=T$17,LEN(G695)&gt;1),1,0)</f>
        <v>0</v>
      </c>
      <c r="R695" s="97">
        <f>Doubles!G$17</f>
        <v>16</v>
      </c>
      <c r="S695" s="95">
        <f ca="1">IF(AND(H695=H$17,LEN(H695)&gt;1,Q695=1),1,0)</f>
        <v>0</v>
      </c>
      <c r="V695" s="97">
        <f ca="1">VLOOKUP(16,R680:S703,2,0)</f>
        <v>0</v>
      </c>
      <c r="W695" s="95">
        <v>16</v>
      </c>
    </row>
    <row r="696" spans="1:23">
      <c r="A696" s="95">
        <v>17</v>
      </c>
      <c r="B696" s="95">
        <f>IF(Doubles!L107="",0,Doubles!L107)</f>
        <v>0</v>
      </c>
      <c r="C696" s="99" t="str">
        <f>IF(OR(LEFT(B696,LEN(B$18))=B$18,LEFT(B696,LEN(C$18))=C$18,LEN(B696)&lt;2),"",IF(B696="no pick","","Wrong pick"))</f>
        <v/>
      </c>
      <c r="E696" s="95">
        <f t="shared" si="260"/>
        <v>0</v>
      </c>
      <c r="G696" s="95" t="str">
        <f>IF(B696=0,"",IF(B696="no pick","No Pick",IF(LEFT(B696,LEN(B$18))=B$18,B$18,C$18)))</f>
        <v/>
      </c>
      <c r="H696" s="95" t="str">
        <f t="shared" si="261"/>
        <v>0-0</v>
      </c>
      <c r="J696" s="95">
        <f>D$18</f>
        <v>0</v>
      </c>
      <c r="K696" s="95" t="str">
        <f t="shared" si="262"/>
        <v>SR</v>
      </c>
      <c r="L696" s="95" t="str">
        <f t="shared" si="263"/>
        <v>0</v>
      </c>
      <c r="M696" s="95" t="str">
        <f t="shared" si="264"/>
        <v>0</v>
      </c>
      <c r="N696" s="95" t="str">
        <f t="shared" si="265"/>
        <v>0</v>
      </c>
      <c r="O696" s="95" t="str">
        <f t="shared" si="266"/>
        <v>0</v>
      </c>
      <c r="P696" s="95" t="str">
        <f t="shared" si="267"/>
        <v>0</v>
      </c>
      <c r="Q696" s="95">
        <f>IF(AND(G696=T$18,LEN(G696)&gt;1),1,0)</f>
        <v>0</v>
      </c>
      <c r="R696" s="97">
        <f>Doubles!G$18</f>
        <v>17</v>
      </c>
      <c r="S696" s="95">
        <f>IF(AND(H696=H$18,LEN(H696)&gt;1,Q696=1),1,0)</f>
        <v>0</v>
      </c>
      <c r="V696" s="97">
        <f>VLOOKUP(17,R680:S703,2,0)</f>
        <v>0</v>
      </c>
      <c r="W696" s="95">
        <v>17</v>
      </c>
    </row>
    <row r="697" spans="1:23">
      <c r="A697" s="95">
        <v>18</v>
      </c>
      <c r="B697" s="95">
        <f>IF(Doubles!L108="",0,Doubles!L108)</f>
        <v>0</v>
      </c>
      <c r="C697" s="99" t="str">
        <f>IF(OR(LEFT(B697,LEN(B$19))=B$19,LEFT(B697,LEN(C$19))=C$19,LEN(B697)&lt;2),"",IF(B697="no pick","","Wrong pick"))</f>
        <v/>
      </c>
      <c r="E697" s="95">
        <f t="shared" si="260"/>
        <v>0</v>
      </c>
      <c r="G697" s="95" t="str">
        <f>IF(B697=0,"",IF(B697="no pick","No Pick",IF(LEFT(B697,LEN(B$19))=B$19,B$19,C$19)))</f>
        <v/>
      </c>
      <c r="H697" s="95" t="str">
        <f t="shared" si="261"/>
        <v>0-0</v>
      </c>
      <c r="J697" s="95">
        <f>D$19</f>
        <v>0</v>
      </c>
      <c r="K697" s="95" t="str">
        <f t="shared" si="262"/>
        <v>SR</v>
      </c>
      <c r="L697" s="95" t="str">
        <f t="shared" si="263"/>
        <v>0</v>
      </c>
      <c r="M697" s="95" t="str">
        <f t="shared" si="264"/>
        <v>0</v>
      </c>
      <c r="N697" s="95" t="str">
        <f t="shared" si="265"/>
        <v>0</v>
      </c>
      <c r="O697" s="95" t="str">
        <f t="shared" si="266"/>
        <v>0</v>
      </c>
      <c r="P697" s="95" t="str">
        <f t="shared" si="267"/>
        <v>0</v>
      </c>
      <c r="Q697" s="95">
        <f>IF(AND(G697=T$19,LEN(G697)&gt;1),1,0)</f>
        <v>0</v>
      </c>
      <c r="R697" s="97">
        <f>Doubles!G$19</f>
        <v>18</v>
      </c>
      <c r="S697" s="95">
        <f>IF(AND(H697=H$19,LEN(H697)&gt;1,Q697=1),1,0)</f>
        <v>0</v>
      </c>
      <c r="V697" s="97">
        <f>VLOOKUP(18,R680:S703,2,0)</f>
        <v>0</v>
      </c>
      <c r="W697" s="95">
        <v>18</v>
      </c>
    </row>
    <row r="698" spans="1:23">
      <c r="A698" s="95">
        <v>19</v>
      </c>
      <c r="B698" s="95">
        <f>IF(Doubles!L109="",0,Doubles!L109)</f>
        <v>0</v>
      </c>
      <c r="C698" s="99" t="str">
        <f>IF(OR(LEFT(B698,LEN(B$20))=B$20,LEFT(B698,LEN(C$20))=C$20,LEN(B698)&lt;2),"",IF(B698="no pick","","Wrong pick"))</f>
        <v/>
      </c>
      <c r="E698" s="95">
        <f t="shared" si="260"/>
        <v>0</v>
      </c>
      <c r="G698" s="95" t="str">
        <f>IF(B698=0,"",IF(B698="no pick","No Pick",IF(LEFT(B698,LEN(B$20))=B$20,B$20,C$20)))</f>
        <v/>
      </c>
      <c r="H698" s="95" t="str">
        <f t="shared" si="261"/>
        <v>0-0</v>
      </c>
      <c r="J698" s="95">
        <f>D$20</f>
        <v>0</v>
      </c>
      <c r="K698" s="95" t="str">
        <f t="shared" si="262"/>
        <v>SR</v>
      </c>
      <c r="L698" s="95" t="str">
        <f t="shared" si="263"/>
        <v>0</v>
      </c>
      <c r="M698" s="95" t="str">
        <f t="shared" si="264"/>
        <v>0</v>
      </c>
      <c r="N698" s="95" t="str">
        <f t="shared" si="265"/>
        <v>0</v>
      </c>
      <c r="O698" s="95" t="str">
        <f t="shared" si="266"/>
        <v>0</v>
      </c>
      <c r="P698" s="95" t="str">
        <f t="shared" si="267"/>
        <v>0</v>
      </c>
      <c r="Q698" s="95">
        <f>IF(AND(G698=T$20,LEN(G698)&gt;1),1,0)</f>
        <v>0</v>
      </c>
      <c r="R698" s="97">
        <f>Doubles!G$20</f>
        <v>19</v>
      </c>
      <c r="S698" s="95">
        <f>IF(AND(H698=H$20,LEN(H698)&gt;1,Q698=1),1,0)</f>
        <v>0</v>
      </c>
      <c r="V698" s="97">
        <f>VLOOKUP(19,R680:S703,2,0)</f>
        <v>0</v>
      </c>
      <c r="W698" s="95">
        <v>19</v>
      </c>
    </row>
    <row r="699" spans="1:23">
      <c r="A699" s="95">
        <v>20</v>
      </c>
      <c r="B699" s="95">
        <f>IF(Doubles!L110="",0,Doubles!L110)</f>
        <v>0</v>
      </c>
      <c r="C699" s="99" t="str">
        <f>IF(OR(LEFT(B699,LEN(B$21))=B$21,LEFT(B699,LEN(C$21))=C$21,LEN(B699)&lt;2),"",IF(B699="no pick","","Wrong pick"))</f>
        <v/>
      </c>
      <c r="E699" s="95">
        <f t="shared" si="260"/>
        <v>0</v>
      </c>
      <c r="G699" s="95" t="str">
        <f>IF(B699=0,"",IF(B699="no pick","No Pick",IF(LEFT(B699,LEN(B$21))=B$21,B$21,C$21)))</f>
        <v/>
      </c>
      <c r="H699" s="95" t="str">
        <f t="shared" si="261"/>
        <v>0-0</v>
      </c>
      <c r="J699" s="95">
        <f>D$21</f>
        <v>0</v>
      </c>
      <c r="K699" s="95" t="str">
        <f t="shared" si="262"/>
        <v>SR</v>
      </c>
      <c r="L699" s="95" t="str">
        <f t="shared" si="263"/>
        <v>0</v>
      </c>
      <c r="M699" s="95" t="str">
        <f t="shared" si="264"/>
        <v>0</v>
      </c>
      <c r="N699" s="95" t="str">
        <f t="shared" si="265"/>
        <v>0</v>
      </c>
      <c r="O699" s="95" t="str">
        <f t="shared" si="266"/>
        <v>0</v>
      </c>
      <c r="P699" s="95" t="str">
        <f t="shared" si="267"/>
        <v>0</v>
      </c>
      <c r="Q699" s="95">
        <f>IF(AND(G699=T$21,LEN(G699)&gt;1),1,0)</f>
        <v>0</v>
      </c>
      <c r="R699" s="97">
        <f>Doubles!G$21</f>
        <v>20</v>
      </c>
      <c r="S699" s="95">
        <f>IF(AND(H699=H$21,LEN(H699)&gt;1,Q699=1),1,0)</f>
        <v>0</v>
      </c>
      <c r="V699" s="97">
        <f>VLOOKUP(20,R680:S703,2,0)</f>
        <v>0</v>
      </c>
      <c r="W699" s="95">
        <v>20</v>
      </c>
    </row>
    <row r="700" spans="1:23">
      <c r="A700" s="95">
        <v>21</v>
      </c>
      <c r="B700" s="95">
        <f>IF(Doubles!L111="",0,Doubles!L111)</f>
        <v>0</v>
      </c>
      <c r="C700" s="99" t="str">
        <f>IF(OR(LEFT(B700,LEN(B$22))=B$22,LEFT(B700,LEN(C$22))=C$22,LEN(B700)&lt;2),"",IF(B700="no pick","","Wrong pick"))</f>
        <v/>
      </c>
      <c r="E700" s="95">
        <f t="shared" si="260"/>
        <v>0</v>
      </c>
      <c r="G700" s="95" t="str">
        <f>IF(B700=0,"",IF(B700="no pick","No Pick",IF(LEFT(B700,LEN(B$22))=B$22,B$22,C$22)))</f>
        <v/>
      </c>
      <c r="H700" s="95" t="str">
        <f t="shared" si="261"/>
        <v>0-0</v>
      </c>
      <c r="J700" s="95">
        <f>D$22</f>
        <v>0</v>
      </c>
      <c r="K700" s="95" t="str">
        <f t="shared" si="262"/>
        <v>SR</v>
      </c>
      <c r="L700" s="95" t="str">
        <f t="shared" si="263"/>
        <v>0</v>
      </c>
      <c r="M700" s="95" t="str">
        <f t="shared" si="264"/>
        <v>0</v>
      </c>
      <c r="N700" s="95" t="str">
        <f t="shared" si="265"/>
        <v>0</v>
      </c>
      <c r="O700" s="95" t="str">
        <f t="shared" si="266"/>
        <v>0</v>
      </c>
      <c r="P700" s="95" t="str">
        <f t="shared" si="267"/>
        <v>0</v>
      </c>
      <c r="Q700" s="95">
        <f>IF(AND(G700=T$22,LEN(G700)&gt;1),1,0)</f>
        <v>0</v>
      </c>
      <c r="R700" s="97">
        <f>Doubles!G$22</f>
        <v>21</v>
      </c>
      <c r="S700" s="95">
        <f>IF(AND(H700=H$22,LEN(H700)&gt;1,Q700=1),1,0)</f>
        <v>0</v>
      </c>
      <c r="V700" s="97">
        <f>VLOOKUP(21,R680:S703,2,0)</f>
        <v>0</v>
      </c>
      <c r="W700" s="95">
        <v>21</v>
      </c>
    </row>
    <row r="701" spans="1:23">
      <c r="A701" s="95">
        <v>22</v>
      </c>
      <c r="B701" s="95">
        <f>IF(Doubles!L112="",0,Doubles!L112)</f>
        <v>0</v>
      </c>
      <c r="C701" s="99" t="str">
        <f>IF(OR(LEFT(B701,LEN(B$23))=B$23,LEFT(B701,LEN(C$23))=C$23,LEN(B701)&lt;2),"",IF(B701="no pick","","Wrong pick"))</f>
        <v/>
      </c>
      <c r="E701" s="95">
        <f t="shared" si="260"/>
        <v>0</v>
      </c>
      <c r="G701" s="95" t="str">
        <f>IF(B701=0,"",IF(B701="no pick","No Pick",IF(LEFT(B701,LEN(B$23))=B$23,B$23,C$23)))</f>
        <v/>
      </c>
      <c r="H701" s="95" t="str">
        <f t="shared" si="261"/>
        <v>0-0</v>
      </c>
      <c r="J701" s="95">
        <f>D$23</f>
        <v>0</v>
      </c>
      <c r="K701" s="95" t="str">
        <f t="shared" si="262"/>
        <v>SR</v>
      </c>
      <c r="L701" s="95" t="str">
        <f t="shared" si="263"/>
        <v>0</v>
      </c>
      <c r="M701" s="95" t="str">
        <f t="shared" si="264"/>
        <v>0</v>
      </c>
      <c r="N701" s="95" t="str">
        <f t="shared" si="265"/>
        <v>0</v>
      </c>
      <c r="O701" s="95" t="str">
        <f t="shared" si="266"/>
        <v>0</v>
      </c>
      <c r="P701" s="95" t="str">
        <f t="shared" si="267"/>
        <v>0</v>
      </c>
      <c r="Q701" s="95">
        <f>IF(AND(G701=T$23,LEN(G701)&gt;1),1,0)</f>
        <v>0</v>
      </c>
      <c r="R701" s="97">
        <f>Doubles!G$23</f>
        <v>22</v>
      </c>
      <c r="S701" s="95">
        <f>IF(AND(H701=H$23,LEN(H701)&gt;1,Q701=1),1,0)</f>
        <v>0</v>
      </c>
      <c r="V701" s="97">
        <f>VLOOKUP(22,R680:S703,2,0)</f>
        <v>0</v>
      </c>
      <c r="W701" s="95">
        <v>22</v>
      </c>
    </row>
    <row r="702" spans="1:23">
      <c r="A702" s="95">
        <v>23</v>
      </c>
      <c r="B702" s="95">
        <f>IF(Doubles!L113="",0,Doubles!L113)</f>
        <v>0</v>
      </c>
      <c r="C702" s="99" t="str">
        <f>IF(OR(LEFT(B702,LEN(B$24))=B$24,LEFT(B702,LEN(C$24))=C$24,LEN(B702)&lt;2),"",IF(B702="no pick","","Wrong pick"))</f>
        <v/>
      </c>
      <c r="E702" s="95">
        <f t="shared" si="260"/>
        <v>0</v>
      </c>
      <c r="G702" s="95" t="str">
        <f>IF(B702=0,"",IF(B702="no pick","No Pick",IF(LEFT(B702,LEN(B$24))=B$24,B$24,C$24)))</f>
        <v/>
      </c>
      <c r="H702" s="95" t="str">
        <f t="shared" si="261"/>
        <v>0-0</v>
      </c>
      <c r="J702" s="95">
        <f>D$24</f>
        <v>0</v>
      </c>
      <c r="K702" s="95" t="str">
        <f t="shared" si="262"/>
        <v>SR</v>
      </c>
      <c r="L702" s="95" t="str">
        <f t="shared" si="263"/>
        <v>0</v>
      </c>
      <c r="M702" s="95" t="str">
        <f t="shared" si="264"/>
        <v>0</v>
      </c>
      <c r="N702" s="95" t="str">
        <f t="shared" si="265"/>
        <v>0</v>
      </c>
      <c r="O702" s="95" t="str">
        <f t="shared" si="266"/>
        <v>0</v>
      </c>
      <c r="P702" s="95" t="str">
        <f t="shared" si="267"/>
        <v>0</v>
      </c>
      <c r="Q702" s="95">
        <f>IF(AND(G702=T$24,LEN(G702)&gt;1),1,0)</f>
        <v>0</v>
      </c>
      <c r="R702" s="97">
        <f>Doubles!G$24</f>
        <v>23</v>
      </c>
      <c r="S702" s="95">
        <f>IF(AND(H702=H$24,LEN(H702)&gt;1,Q702=1),1,0)</f>
        <v>0</v>
      </c>
      <c r="V702" s="97">
        <f>VLOOKUP(23,R680:S703,2,0)</f>
        <v>0</v>
      </c>
      <c r="W702" s="95">
        <v>23</v>
      </c>
    </row>
    <row r="703" spans="1:23">
      <c r="A703" s="95">
        <v>24</v>
      </c>
      <c r="B703" s="95">
        <f>IF(Doubles!L114="",0,Doubles!L114)</f>
        <v>0</v>
      </c>
      <c r="C703" s="99" t="str">
        <f>IF(OR(LEFT(B703,LEN(B$25))=B$25,LEFT(B703,LEN(C$25))=C$25,LEN(B703)&lt;2),"",IF(B703="no pick","","Wrong pick"))</f>
        <v/>
      </c>
      <c r="E703" s="95">
        <f t="shared" si="260"/>
        <v>0</v>
      </c>
      <c r="G703" s="95" t="str">
        <f>IF(B703=0,"",IF(B703="no pick","No Pick",IF(LEFT(B703,LEN(B$25))=B$25,B$25,C$25)))</f>
        <v/>
      </c>
      <c r="H703" s="95" t="str">
        <f t="shared" si="261"/>
        <v>0-0</v>
      </c>
      <c r="J703" s="95">
        <f>D$25</f>
        <v>0</v>
      </c>
      <c r="K703" s="95" t="str">
        <f t="shared" si="262"/>
        <v>SR</v>
      </c>
      <c r="L703" s="95" t="str">
        <f t="shared" si="263"/>
        <v>0</v>
      </c>
      <c r="M703" s="95" t="str">
        <f t="shared" si="264"/>
        <v>0</v>
      </c>
      <c r="N703" s="95" t="str">
        <f t="shared" si="265"/>
        <v>0</v>
      </c>
      <c r="O703" s="95" t="str">
        <f t="shared" si="266"/>
        <v>0</v>
      </c>
      <c r="P703" s="95" t="str">
        <f t="shared" si="267"/>
        <v>0</v>
      </c>
      <c r="Q703" s="95">
        <f>IF(AND(G703=T$25,LEN(G703)&gt;1),1,0)</f>
        <v>0</v>
      </c>
      <c r="R703" s="97">
        <f>Doubles!G$25</f>
        <v>24</v>
      </c>
      <c r="S703" s="95">
        <f>IF(AND(H703=H$25,LEN(H703)&gt;1,Q703=1),1,0)</f>
        <v>0</v>
      </c>
      <c r="V703" s="97">
        <f>VLOOKUP(24,R680:S703,2,0)</f>
        <v>0</v>
      </c>
      <c r="W703" s="95">
        <v>24</v>
      </c>
    </row>
    <row r="704" spans="1:23">
      <c r="L704" s="98" t="s">
        <v>120</v>
      </c>
      <c r="W704" s="95">
        <v>25</v>
      </c>
    </row>
    <row r="705" spans="1:29">
      <c r="A705" s="95" t="e">
        <f>IF(LEN(VLOOKUP(B705,Doubles!$B$2:$D$17,3,0))&gt;0,VLOOKUP(B705,Doubles!$B$2:$D$17,3,0),"")</f>
        <v>#N/A</v>
      </c>
      <c r="B705" s="96">
        <f>Doubles!K90</f>
        <v>0</v>
      </c>
      <c r="C705" s="96">
        <v>3</v>
      </c>
      <c r="D705" s="95" t="e">
        <f>VLOOKUP(B705,Doubles!$B$2:$F$17,5,0)</f>
        <v>#N/A</v>
      </c>
      <c r="J705" s="95" t="s">
        <v>88</v>
      </c>
      <c r="Q705" s="95" t="s">
        <v>121</v>
      </c>
      <c r="S705" s="95" t="s">
        <v>122</v>
      </c>
      <c r="T705" s="95">
        <f>B705</f>
        <v>0</v>
      </c>
      <c r="V705" s="95" t="s">
        <v>122</v>
      </c>
    </row>
    <row r="706" spans="1:29">
      <c r="A706" s="95">
        <v>1</v>
      </c>
      <c r="B706" s="95">
        <f ca="1">IF(Doubles!K91="",0,Doubles!K91)</f>
        <v>0</v>
      </c>
      <c r="C706" s="99" t="str">
        <f ca="1">IF(OR(LEFT(B706,LEN(B$2))=B$2,LEFT(B706,LEN(C$2))=C$2,LEN(B706)&lt;2),"",IF(B706="no pick","","Wrong pick"))</f>
        <v/>
      </c>
      <c r="D706" s="95">
        <f t="shared" ref="D706:D729" ca="1" si="268">IF(G706=G732,0,1)</f>
        <v>0</v>
      </c>
      <c r="E706" s="95">
        <f t="shared" ref="E706:E729" ca="1" si="269">IF(AND($I$2=J706,B706=0),1,0)</f>
        <v>1</v>
      </c>
      <c r="F706" s="95" t="str">
        <f ca="1">IF(AND(SUM(E706:E729)=$I$4,NOT(B705="Bye")),"Missing picks from "&amp;B705&amp;" ","")</f>
        <v xml:space="preserve">Missing picks from 0 </v>
      </c>
      <c r="G706" s="95" t="str">
        <f ca="1">IF(B706=0,"",IF(B706="no pick","No Pick",IF(LEFT(B706,LEN(B$2))=B$2,B$2,C$2)))</f>
        <v/>
      </c>
      <c r="H706" s="95" t="str">
        <f t="shared" ref="H706:H729" ca="1" si="270">IF(L706="","",IF(K706="PTS",IF(LEN(O706)&lt;8,"2-0","2-1"),LEFT(O706,1)&amp;"-"&amp;RIGHT(O706,1)))</f>
        <v>0-0</v>
      </c>
      <c r="I706" s="95" t="str">
        <f>IF(AND(J706=$I$2,F$2=0,NOT(E$2="")),IF(OR(AND(Y706=AA706,Z706=AB706),AND(Y706=AB706,Z706=AA706)),"",IF(AND(Y706=Z706,AA706=AB706),Y706&amp;" +2 v. "&amp;AA706&amp;" +2, ",IF(Y706=AA706,Z706&amp;" v. "&amp;AB706&amp;", ",IF(Z706=AB706,Y706&amp;" v. "&amp;AA706&amp;", ",IF(Y706=AB706,Z706&amp;" v. "&amp;AA706&amp;", ",IF(Z706=AA706,Y706&amp;" v. "&amp;AB706&amp;", ",Y706&amp;" v. "&amp;AA706&amp;", "&amp;Z706&amp;" v. "&amp;AB706&amp;", ")))))),"")</f>
        <v/>
      </c>
      <c r="J706" s="97">
        <f>D$2</f>
        <v>1</v>
      </c>
      <c r="K706" s="95" t="str">
        <f t="shared" ref="K706:K729" ca="1" si="271">IF(LEN(L706)&gt;0,IF(LEN(O706)&lt;4,"SR","PTS"),"")</f>
        <v>SR</v>
      </c>
      <c r="L706" s="95" t="str">
        <f t="shared" ref="L706:L729" ca="1" si="272">TRIM(RIGHT(B706,LEN(B706)-LEN(G706)))</f>
        <v>0</v>
      </c>
      <c r="M706" s="95" t="str">
        <f t="shared" ref="M706:M729" ca="1" si="273">SUBSTITUTE(L706,"-","")</f>
        <v>0</v>
      </c>
      <c r="N706" s="95" t="str">
        <f t="shared" ref="N706:N729" ca="1" si="274">SUBSTITUTE(M706,","," ")</f>
        <v>0</v>
      </c>
      <c r="O706" s="95" t="str">
        <f t="shared" ref="O706:O729" ca="1" si="275">IF(AND(LEN(TRIM(SUBSTITUTE(P706,"/","")))&gt;6,OR(LEFT(TRIM(SUBSTITUTE(P706,"/","")),2)="20",LEFT(TRIM(SUBSTITUTE(P706,"/","")),2)="21")),RIGHT(TRIM(SUBSTITUTE(P706,"/","")),LEN(TRIM(SUBSTITUTE(P706,"/","")))-3),TRIM(SUBSTITUTE(P706,"/","")))</f>
        <v>0</v>
      </c>
      <c r="P706" s="95" t="str">
        <f t="shared" ref="P706:P729" ca="1" si="276">SUBSTITUTE(N706,":","")</f>
        <v>0</v>
      </c>
      <c r="Q706" s="95">
        <f ca="1">IF(AND(G706=T$2,LEN(G706)&gt;1),1,0)</f>
        <v>0</v>
      </c>
      <c r="R706" s="97">
        <f>Doubles!G$2</f>
        <v>1</v>
      </c>
      <c r="S706" s="95">
        <f ca="1">IF(AND(H706=H$2,LEN(H706)&gt;1,Q706=1),1,0)</f>
        <v>0</v>
      </c>
      <c r="T706" s="95" t="str">
        <f>" SR Differences: "&amp;IF(LEN(I706&amp;I707&amp;I708&amp;I709&amp;I710&amp;I711&amp;I712&amp;I713&amp;I714&amp;I715&amp;I716&amp;I717&amp;I718&amp;I719&amp;I720&amp;I721)&lt;3,"None..",I706&amp;I707&amp;I708&amp;I709&amp;I710&amp;I711&amp;I712&amp;I713&amp;I714&amp;I715&amp;I716&amp;I717&amp;I718&amp;I719&amp;I720&amp;I721)</f>
        <v xml:space="preserve"> SR Differences: None..</v>
      </c>
      <c r="V706" s="97">
        <f ca="1">VLOOKUP(1,R706:S729,2,0)</f>
        <v>0</v>
      </c>
      <c r="W706" s="95" t="str">
        <f t="shared" ref="W706:W729" ca="1" si="277">IF(J654=$I$2,IF(OR(G654&amp;G706=G680&amp;G732,G654&amp;G706=G732&amp;G680),"",IF(G680=G732,G680,IF(OR(G654=G680,G680=G706),G732,IF(OR(G732=G654,G706=G732),G680,G680&amp;", "&amp;G732)))),"")</f>
        <v/>
      </c>
      <c r="X706" s="95">
        <f ca="1">IF(F$2=0,IF(AND(G680=G732,NOT(G654=G680),NOT(G706=G732),LEN(W654)&gt;0),2,IF(LEN(W654)=0,0,1)),0)</f>
        <v>0</v>
      </c>
      <c r="AC706" s="95" t="str">
        <f ca="1">IF(AND(LEN(W706)&gt;0,F$2=0),IF(X706=2,W706&amp;" +2, ",W706&amp;", "),"")</f>
        <v/>
      </c>
    </row>
    <row r="707" spans="1:29">
      <c r="A707" s="95">
        <v>2</v>
      </c>
      <c r="B707" s="95">
        <f ca="1">IF(Doubles!K92="",0,Doubles!K92)</f>
        <v>0</v>
      </c>
      <c r="C707" s="99" t="str">
        <f ca="1">IF(OR(LEFT(B707,LEN(B$3))=B$3,LEFT(B707,LEN(C$3))=C$3,LEN(B707)&lt;2),"",IF(B707="no pick","","Wrong pick"))</f>
        <v/>
      </c>
      <c r="D707" s="95">
        <f t="shared" ca="1" si="268"/>
        <v>0</v>
      </c>
      <c r="E707" s="95">
        <f t="shared" ca="1" si="269"/>
        <v>1</v>
      </c>
      <c r="G707" s="95" t="str">
        <f ca="1">IF(B707=0,"",IF(B707="no pick","No Pick",IF(LEFT(B707,LEN(B$3))=B$3,B$3,C$3)))</f>
        <v/>
      </c>
      <c r="H707" s="95" t="str">
        <f t="shared" ca="1" si="270"/>
        <v>0-0</v>
      </c>
      <c r="I707" s="95" t="str">
        <f>IF(AND(J707=$I$2,F$3=0,NOT(E$3="")),IF(OR(AND(Y707=AA707,Z707=AB707),AND(Y707=AB707,Z707=AA707)),"",IF(AND(Y707=Z707,AA707=AB707),Y707&amp;" +2 v. "&amp;AA707&amp;" +2, ",IF(Y707=AA707,Z707&amp;" v. "&amp;AB707&amp;", ",IF(Z707=AB707,Y707&amp;" v. "&amp;AA707&amp;", ",IF(Y707=AB707,Z707&amp;" v. "&amp;AA707&amp;", ",IF(Z707=AA707,Y707&amp;" v. "&amp;AB707&amp;", ",Y707&amp;" v. "&amp;AA707&amp;", "&amp;Z707&amp;" v. "&amp;AB707&amp;", ")))))),"")</f>
        <v/>
      </c>
      <c r="J707" s="97">
        <f>D$3</f>
        <v>1</v>
      </c>
      <c r="K707" s="95" t="str">
        <f t="shared" ca="1" si="271"/>
        <v>SR</v>
      </c>
      <c r="L707" s="95" t="str">
        <f t="shared" ca="1" si="272"/>
        <v>0</v>
      </c>
      <c r="M707" s="95" t="str">
        <f t="shared" ca="1" si="273"/>
        <v>0</v>
      </c>
      <c r="N707" s="95" t="str">
        <f t="shared" ca="1" si="274"/>
        <v>0</v>
      </c>
      <c r="O707" s="95" t="str">
        <f t="shared" ca="1" si="275"/>
        <v>0</v>
      </c>
      <c r="P707" s="95" t="str">
        <f t="shared" ca="1" si="276"/>
        <v>0</v>
      </c>
      <c r="Q707" s="95">
        <f ca="1">IF(AND(G707=T$3,LEN(G707)&gt;1),1,0)</f>
        <v>0</v>
      </c>
      <c r="R707" s="97">
        <f>Doubles!G$3</f>
        <v>2</v>
      </c>
      <c r="S707" s="95">
        <f ca="1">IF(AND(H707=H$3,LEN(H707)&gt;1,Q707=1),1,0)</f>
        <v>0</v>
      </c>
      <c r="T707" s="95" t="str">
        <f ca="1">IF(T708&gt;0,LEFT(E706,LEN(E706)-2)&amp;" vs. "&amp;LEFT(E732,LEN(E732)-2),"Same winners;")</f>
        <v>Same winners;</v>
      </c>
      <c r="V707" s="97">
        <f ca="1">VLOOKUP(2,R706:S729,2,0)</f>
        <v>0</v>
      </c>
      <c r="W707" s="95" t="str">
        <f t="shared" ca="1" si="277"/>
        <v/>
      </c>
      <c r="X707" s="95">
        <f ca="1">IF(F$3=0,IF(AND(G681=G733,NOT(G655=G681),NOT(G707=G733),LEN(W655)&gt;0),2,IF(LEN(W655)=0,0,1)),0)</f>
        <v>0</v>
      </c>
      <c r="AC707" s="95" t="str">
        <f ca="1">IF(AND(LEN(W707)&gt;0,F$3=0),IF(X707=2,W707&amp;" +2, ",W707&amp;", "),"")</f>
        <v/>
      </c>
    </row>
    <row r="708" spans="1:29">
      <c r="A708" s="95">
        <v>3</v>
      </c>
      <c r="B708" s="95">
        <f ca="1">IF(Doubles!K93="",0,Doubles!K93)</f>
        <v>0</v>
      </c>
      <c r="C708" s="99" t="str">
        <f ca="1">IF(OR(LEFT(B708,LEN(B$4))=B$4,LEFT(B708,LEN(C$4))=C$4,LEN(B708)&lt;2),"",IF(B708="no pick","","Wrong pick"))</f>
        <v/>
      </c>
      <c r="D708" s="95">
        <f t="shared" ca="1" si="268"/>
        <v>0</v>
      </c>
      <c r="E708" s="95">
        <f t="shared" ca="1" si="269"/>
        <v>1</v>
      </c>
      <c r="G708" s="95" t="str">
        <f ca="1">IF(B708=0,"",IF(B708="no pick","No Pick",IF(LEFT(B708,LEN(B$4))=B$4,B$4,C$4)))</f>
        <v/>
      </c>
      <c r="H708" s="95" t="str">
        <f t="shared" ca="1" si="270"/>
        <v>0-0</v>
      </c>
      <c r="I708" s="95" t="str">
        <f>IF(AND(J708=$I$2,F$4=0,NOT(E$4="")),IF(OR(AND(Y708=AA708,Z708=AB708),AND(Y708=AB708,Z708=AA708)),"",IF(AND(Y708=Z708,AA708=AB708),Y708&amp;" +2 v. "&amp;AA708&amp;" +2, ",IF(Y708=AA708,Z708&amp;" v. "&amp;AB708&amp;", ",IF(Z708=AB708,Y708&amp;" v. "&amp;AA708&amp;", ",IF(Y708=AB708,Z708&amp;" v. "&amp;AA708&amp;", ",IF(Z708=AA708,Y708&amp;" v. "&amp;AB708&amp;", ",Y708&amp;" v. "&amp;AA708&amp;", "&amp;Z708&amp;" v. "&amp;AB708&amp;", ")))))),"")</f>
        <v/>
      </c>
      <c r="J708" s="97">
        <f>D$4</f>
        <v>1</v>
      </c>
      <c r="K708" s="95" t="str">
        <f t="shared" ca="1" si="271"/>
        <v>SR</v>
      </c>
      <c r="L708" s="95" t="str">
        <f t="shared" ca="1" si="272"/>
        <v>0</v>
      </c>
      <c r="M708" s="95" t="str">
        <f t="shared" ca="1" si="273"/>
        <v>0</v>
      </c>
      <c r="N708" s="95" t="str">
        <f t="shared" ca="1" si="274"/>
        <v>0</v>
      </c>
      <c r="O708" s="95" t="str">
        <f t="shared" ca="1" si="275"/>
        <v>0</v>
      </c>
      <c r="P708" s="95" t="str">
        <f t="shared" ca="1" si="276"/>
        <v>0</v>
      </c>
      <c r="Q708" s="95">
        <f ca="1">IF(AND(G708=T$4,LEN(G708)&gt;1),1,0)</f>
        <v>0</v>
      </c>
      <c r="R708" s="97">
        <f>Doubles!G$4</f>
        <v>3</v>
      </c>
      <c r="S708" s="95">
        <f ca="1">IF(AND(H708=H$4,LEN(H708)&gt;1,Q708=1),1,0)</f>
        <v>0</v>
      </c>
      <c r="T708" s="101">
        <f ca="1">SUMIF(J706:J721,$I$2,D706:D721)</f>
        <v>0</v>
      </c>
      <c r="V708" s="97">
        <f ca="1">VLOOKUP(3,R706:S729,2,0)</f>
        <v>0</v>
      </c>
      <c r="W708" s="95" t="str">
        <f t="shared" ca="1" si="277"/>
        <v/>
      </c>
      <c r="X708" s="95">
        <f ca="1">IF(F$4=0,IF(AND(G682=G734,NOT(G656=G682),NOT(G708=G734),LEN(W656)&gt;0),2,IF(LEN(W656)=0,0,1)),0)</f>
        <v>0</v>
      </c>
      <c r="AC708" s="95" t="str">
        <f ca="1">IF(AND(LEN(W708)&gt;0,F$4=0),IF(X708=2,W708&amp;" +2, ",W708&amp;", "),"")</f>
        <v/>
      </c>
    </row>
    <row r="709" spans="1:29">
      <c r="A709" s="95">
        <v>4</v>
      </c>
      <c r="B709" s="95">
        <f ca="1">IF(Doubles!K94="",0,Doubles!K94)</f>
        <v>0</v>
      </c>
      <c r="C709" s="99" t="str">
        <f ca="1">IF(OR(LEFT(B709,LEN(B$5))=B$5,LEFT(B709,LEN(C$5))=C$5,LEN(B709)&lt;2),"",IF(B709="no pick","","Wrong pick"))</f>
        <v/>
      </c>
      <c r="D709" s="95">
        <f t="shared" ca="1" si="268"/>
        <v>0</v>
      </c>
      <c r="E709" s="95">
        <f t="shared" ca="1" si="269"/>
        <v>1</v>
      </c>
      <c r="G709" s="95" t="str">
        <f ca="1">IF(B709=0,"",IF(B709="no pick","No Pick",IF(LEFT(B709,LEN(B$5))=B$5,B$5,C$5)))</f>
        <v/>
      </c>
      <c r="H709" s="95" t="str">
        <f t="shared" ca="1" si="270"/>
        <v>0-0</v>
      </c>
      <c r="I709" s="95" t="str">
        <f>IF(AND(J709=$I$2,F$5=0,NOT(E$5="")),IF(OR(AND(Y709=AA709,Z709=AB709),AND(Y709=AB709,Z709=AA709)),"",IF(AND(Y709=Z709,AA709=AB709),Y709&amp;" +2 v. "&amp;AA709&amp;" +2, ",IF(Y709=AA709,Z709&amp;" v. "&amp;AB709&amp;", ",IF(Z709=AB709,Y709&amp;" v. "&amp;AA709&amp;", ",IF(Y709=AB709,Z709&amp;" v. "&amp;AA709&amp;", ",IF(Z709=AA709,Y709&amp;" v. "&amp;AB709&amp;", ",Y709&amp;" v. "&amp;AA709&amp;", "&amp;Z709&amp;" v. "&amp;AB709&amp;", ")))))),"")</f>
        <v/>
      </c>
      <c r="J709" s="97">
        <f>D$5</f>
        <v>1</v>
      </c>
      <c r="K709" s="95" t="str">
        <f t="shared" ca="1" si="271"/>
        <v>SR</v>
      </c>
      <c r="L709" s="95" t="str">
        <f t="shared" ca="1" si="272"/>
        <v>0</v>
      </c>
      <c r="M709" s="95" t="str">
        <f t="shared" ca="1" si="273"/>
        <v>0</v>
      </c>
      <c r="N709" s="95" t="str">
        <f t="shared" ca="1" si="274"/>
        <v>0</v>
      </c>
      <c r="O709" s="95" t="str">
        <f t="shared" ca="1" si="275"/>
        <v>0</v>
      </c>
      <c r="P709" s="95" t="str">
        <f t="shared" ca="1" si="276"/>
        <v>0</v>
      </c>
      <c r="Q709" s="95">
        <f ca="1">IF(AND(G709=T$5,LEN(G709)&gt;1),1,0)</f>
        <v>0</v>
      </c>
      <c r="R709" s="97">
        <f>Doubles!G$5</f>
        <v>4</v>
      </c>
      <c r="S709" s="95">
        <f ca="1">IF(AND(H709=H$5,LEN(H709)&gt;1,Q709=1),1,0)</f>
        <v>0</v>
      </c>
      <c r="U709" s="95" t="str">
        <f ca="1">AC654&amp;AC655&amp;AC656&amp;AC657&amp;AC658&amp;AC659&amp;AC660&amp;AC661&amp;AC662&amp;AC663&amp;AC664&amp;AC665&amp;AC666&amp;AC667&amp;AC668&amp;AC669&amp;AC670&amp;AC671&amp;AC672&amp;AC673&amp;AC674&amp;AC675&amp;AC676&amp;AC677</f>
        <v/>
      </c>
      <c r="V709" s="97">
        <f ca="1">VLOOKUP(4,R706:S729,2,0)</f>
        <v>0</v>
      </c>
      <c r="W709" s="95" t="str">
        <f t="shared" ca="1" si="277"/>
        <v/>
      </c>
      <c r="X709" s="95">
        <f ca="1">IF(F$5=0,IF(AND(G683=G735,NOT(G657=G683),NOT(G709=G735),LEN(W657)&gt;0),2,IF(LEN(W657)=0,0,1)),0)</f>
        <v>0</v>
      </c>
      <c r="AC709" s="95" t="str">
        <f ca="1">IF(AND(LEN(W709)&gt;0,F$5=0),IF(X709=2,W709&amp;" +2, ",W709&amp;", "),"")</f>
        <v/>
      </c>
    </row>
    <row r="710" spans="1:29">
      <c r="A710" s="95">
        <v>5</v>
      </c>
      <c r="B710" s="95">
        <f ca="1">IF(Doubles!K95="",0,Doubles!K95)</f>
        <v>0</v>
      </c>
      <c r="C710" s="99" t="str">
        <f ca="1">IF(OR(LEFT(B710,LEN(B$6))=B$6,LEFT(B710,LEN(C$6))=C$6,LEN(B710)&lt;2),"",IF(B710="no pick","","Wrong pick"))</f>
        <v/>
      </c>
      <c r="D710" s="95">
        <f t="shared" ca="1" si="268"/>
        <v>0</v>
      </c>
      <c r="E710" s="95">
        <f t="shared" ca="1" si="269"/>
        <v>1</v>
      </c>
      <c r="G710" s="95" t="str">
        <f ca="1">IF(B710=0,"",IF(B710="no pick","No Pick",IF(LEFT(B710,LEN(B$6))=B$6,B$6,C$6)))</f>
        <v/>
      </c>
      <c r="H710" s="95" t="str">
        <f t="shared" ca="1" si="270"/>
        <v>0-0</v>
      </c>
      <c r="I710" s="95" t="str">
        <f>IF(AND(J710=$I$2,F$6=0,NOT(E$6="")),IF(OR(AND(Y710=AA710,Z710=AB710),AND(Y710=AB710,Z710=AA710)),"",IF(AND(Y710=Z710,AA710=AB710),Y710&amp;" +2 v. "&amp;AA710&amp;" +2, ",IF(Y710=AA710,Z710&amp;" v. "&amp;AB710&amp;", ",IF(Z710=AB710,Y710&amp;" v. "&amp;AA710&amp;", ",IF(Y710=AB710,Z710&amp;" v. "&amp;AA710&amp;", ",IF(Z710=AA710,Y710&amp;" v. "&amp;AB710&amp;", ",Y710&amp;" v. "&amp;AA710&amp;", "&amp;Z710&amp;" v. "&amp;AB710&amp;", ")))))),"")</f>
        <v/>
      </c>
      <c r="J710" s="97">
        <f>D$6</f>
        <v>1</v>
      </c>
      <c r="K710" s="95" t="str">
        <f t="shared" ca="1" si="271"/>
        <v>SR</v>
      </c>
      <c r="L710" s="95" t="str">
        <f t="shared" ca="1" si="272"/>
        <v>0</v>
      </c>
      <c r="M710" s="95" t="str">
        <f t="shared" ca="1" si="273"/>
        <v>0</v>
      </c>
      <c r="N710" s="95" t="str">
        <f t="shared" ca="1" si="274"/>
        <v>0</v>
      </c>
      <c r="O710" s="95" t="str">
        <f t="shared" ca="1" si="275"/>
        <v>0</v>
      </c>
      <c r="P710" s="95" t="str">
        <f t="shared" ca="1" si="276"/>
        <v>0</v>
      </c>
      <c r="Q710" s="95">
        <f ca="1">IF(AND(G710=T$6,LEN(G710)&gt;1),1,0)</f>
        <v>0</v>
      </c>
      <c r="R710" s="97">
        <f>Doubles!G$6</f>
        <v>5</v>
      </c>
      <c r="S710" s="95">
        <f ca="1">IF(AND(H710=H$6,LEN(H710)&gt;1,Q710=1),1,0)</f>
        <v>0</v>
      </c>
      <c r="U710" s="95" t="str">
        <f ca="1">AC706&amp;AC707&amp;AC708&amp;AC709&amp;AC710&amp;AC711&amp;AC712&amp;AC713&amp;AC714&amp;AC715&amp;AC716&amp;AC717&amp;AC718&amp;AC719&amp;AC720&amp;AC721&amp;AC722&amp;AC723&amp;AC724&amp;AC725&amp;AC726&amp;AC727&amp;AC728&amp;AC729</f>
        <v/>
      </c>
      <c r="V710" s="97">
        <f ca="1">VLOOKUP(5,R706:S729,2,0)</f>
        <v>0</v>
      </c>
      <c r="W710" s="95" t="str">
        <f t="shared" ca="1" si="277"/>
        <v/>
      </c>
      <c r="X710" s="95">
        <f ca="1">IF(F$6=0,IF(AND(G684=G736,NOT(G658=G684),NOT(G710=G736),LEN(W658)&gt;0),2,IF(LEN(W658)=0,0,1)),0)</f>
        <v>0</v>
      </c>
      <c r="AC710" s="95" t="str">
        <f ca="1">IF(AND(LEN(W710)&gt;0,F$6=0),IF(X710=2,W710&amp;" +2, ",W710&amp;", "),"")</f>
        <v/>
      </c>
    </row>
    <row r="711" spans="1:29">
      <c r="A711" s="95">
        <v>6</v>
      </c>
      <c r="B711" s="95">
        <f ca="1">IF(Doubles!K96="",0,Doubles!K96)</f>
        <v>0</v>
      </c>
      <c r="C711" s="99" t="str">
        <f ca="1">IF(OR(LEFT(B711,LEN(B$7))=B$7,LEFT(B711,LEN(C$7))=C$7,LEN(B711)&lt;2),"",IF(B711="no pick","","Wrong pick"))</f>
        <v/>
      </c>
      <c r="D711" s="95">
        <f t="shared" ca="1" si="268"/>
        <v>0</v>
      </c>
      <c r="E711" s="95">
        <f t="shared" ca="1" si="269"/>
        <v>1</v>
      </c>
      <c r="G711" s="95" t="str">
        <f ca="1">IF(B711=0,"",IF(B711="no pick","No Pick",IF(LEFT(B711,LEN(B$7))=B$7,B$7,C$7)))</f>
        <v/>
      </c>
      <c r="H711" s="95" t="str">
        <f t="shared" ca="1" si="270"/>
        <v>0-0</v>
      </c>
      <c r="I711" s="95" t="str">
        <f>IF(AND(J711=$I$2,F$7=0,NOT(E$7="")),IF(OR(AND(Y711=AA711,Z711=AB711),AND(Y711=AB711,Z711=AA711)),"",IF(AND(Y711=Z711,AA711=AB711),Y711&amp;" +2 v. "&amp;AA711&amp;" +2, ",IF(Y711=AA711,Z711&amp;" v. "&amp;AB711&amp;", ",IF(Z711=AB711,Y711&amp;" v. "&amp;AA711&amp;", ",IF(Y711=AB711,Z711&amp;" v. "&amp;AA711&amp;", ",IF(Z711=AA711,Y711&amp;" v. "&amp;AB711&amp;", ",Y711&amp;" v. "&amp;AA711&amp;", "&amp;Z711&amp;" v. "&amp;AB711&amp;", ")))))),"")</f>
        <v/>
      </c>
      <c r="J711" s="97">
        <f>D$7</f>
        <v>1</v>
      </c>
      <c r="K711" s="95" t="str">
        <f t="shared" ca="1" si="271"/>
        <v>SR</v>
      </c>
      <c r="L711" s="95" t="str">
        <f t="shared" ca="1" si="272"/>
        <v>0</v>
      </c>
      <c r="M711" s="95" t="str">
        <f t="shared" ca="1" si="273"/>
        <v>0</v>
      </c>
      <c r="N711" s="95" t="str">
        <f t="shared" ca="1" si="274"/>
        <v>0</v>
      </c>
      <c r="O711" s="95" t="str">
        <f t="shared" ca="1" si="275"/>
        <v>0</v>
      </c>
      <c r="P711" s="95" t="str">
        <f t="shared" ca="1" si="276"/>
        <v>0</v>
      </c>
      <c r="Q711" s="95">
        <f ca="1">IF(AND(G711=T$7,LEN(G711)&gt;1),1,0)</f>
        <v>0</v>
      </c>
      <c r="R711" s="97">
        <f>Doubles!G$7</f>
        <v>6</v>
      </c>
      <c r="S711" s="95">
        <f ca="1">IF(AND(H711=H$7,LEN(H711)&gt;1,Q711=1),1,0)</f>
        <v>0</v>
      </c>
      <c r="T711" s="105">
        <f ca="1">SUM(Q706:Q729)</f>
        <v>0</v>
      </c>
      <c r="U711" s="97">
        <f ca="1">SUM(S706:S729)</f>
        <v>0</v>
      </c>
      <c r="V711" s="97">
        <f ca="1">VLOOKUP(6,R706:S729,2,0)</f>
        <v>0</v>
      </c>
      <c r="W711" s="95" t="str">
        <f t="shared" ca="1" si="277"/>
        <v/>
      </c>
      <c r="X711" s="95">
        <f ca="1">IF(F$7=0,IF(AND(G685=G737,NOT(G659=G685),NOT(G711=G737),LEN(W659)&gt;0),2,IF(LEN(W659)=0,0,1)),0)</f>
        <v>0</v>
      </c>
      <c r="AC711" s="95" t="str">
        <f ca="1">IF(AND(LEN(W711)&gt;0,F$7=0),IF(X711=2,W711&amp;" +2, ",W711&amp;", "),"")</f>
        <v/>
      </c>
    </row>
    <row r="712" spans="1:29">
      <c r="A712" s="95">
        <v>7</v>
      </c>
      <c r="B712" s="95">
        <f ca="1">IF(Doubles!K97="",0,Doubles!K97)</f>
        <v>0</v>
      </c>
      <c r="C712" s="99" t="str">
        <f ca="1">IF(OR(LEFT(B712,LEN(B$8))=B$8,LEFT(B712,LEN(C$8))=C$8,LEN(B712)&lt;2),"",IF(B712="no pick","","Wrong pick"))</f>
        <v/>
      </c>
      <c r="D712" s="95">
        <f t="shared" ca="1" si="268"/>
        <v>0</v>
      </c>
      <c r="E712" s="95">
        <f t="shared" ca="1" si="269"/>
        <v>1</v>
      </c>
      <c r="G712" s="95" t="str">
        <f ca="1">IF(B712=0,"",IF(B712="no pick","No Pick",IF(LEFT(B712,LEN(B$8))=B$8,B$8,C$8)))</f>
        <v/>
      </c>
      <c r="H712" s="95" t="str">
        <f t="shared" ca="1" si="270"/>
        <v>0-0</v>
      </c>
      <c r="I712" s="95" t="str">
        <f>IF(AND(J712=$I$2,F$8=0,NOT(E$8="")),IF(OR(AND(Y712=AA712,Z712=AB712),AND(Y712=AB712,Z712=AA712)),"",IF(AND(Y712=Z712,AA712=AB712),Y712&amp;" +2 v. "&amp;AA712&amp;" +2, ",IF(Y712=AA712,Z712&amp;" v. "&amp;AB712&amp;", ",IF(Z712=AB712,Y712&amp;" v. "&amp;AA712&amp;", ",IF(Y712=AB712,Z712&amp;" v. "&amp;AA712&amp;", ",IF(Z712=AA712,Y712&amp;" v. "&amp;AB712&amp;", ",Y712&amp;" v. "&amp;AA712&amp;", "&amp;Z712&amp;" v. "&amp;AB712&amp;", ")))))),"")</f>
        <v/>
      </c>
      <c r="J712" s="97">
        <f>D$8</f>
        <v>1</v>
      </c>
      <c r="K712" s="95" t="str">
        <f t="shared" ca="1" si="271"/>
        <v>SR</v>
      </c>
      <c r="L712" s="95" t="str">
        <f t="shared" ca="1" si="272"/>
        <v>0</v>
      </c>
      <c r="M712" s="95" t="str">
        <f t="shared" ca="1" si="273"/>
        <v>0</v>
      </c>
      <c r="N712" s="95" t="str">
        <f t="shared" ca="1" si="274"/>
        <v>0</v>
      </c>
      <c r="O712" s="95" t="str">
        <f t="shared" ca="1" si="275"/>
        <v>0</v>
      </c>
      <c r="P712" s="95" t="str">
        <f t="shared" ca="1" si="276"/>
        <v>0</v>
      </c>
      <c r="Q712" s="95">
        <f ca="1">IF(AND(G712=T$8,LEN(G712)&gt;1),1,0)</f>
        <v>0</v>
      </c>
      <c r="R712" s="97">
        <f>Doubles!G$8</f>
        <v>7</v>
      </c>
      <c r="S712" s="95">
        <f ca="1">IF(AND(H712=H$8,LEN(H712)&gt;1,Q712=1),1,0)</f>
        <v>0</v>
      </c>
      <c r="T712" s="105">
        <f ca="1">SUM(Q732:Q755)</f>
        <v>0</v>
      </c>
      <c r="U712" s="97">
        <f ca="1">SUM(S732:S755)</f>
        <v>0</v>
      </c>
      <c r="V712" s="97">
        <f ca="1">VLOOKUP(7,R706:S729,2,0)</f>
        <v>0</v>
      </c>
      <c r="W712" s="95" t="str">
        <f t="shared" ca="1" si="277"/>
        <v/>
      </c>
      <c r="X712" s="95">
        <f ca="1">IF(F$8=0,IF(AND(G686=G738,NOT(G660=G686),NOT(G712=G738),LEN(W660)&gt;0),2,IF(LEN(W660)=0,0,1)),0)</f>
        <v>0</v>
      </c>
      <c r="AC712" s="95" t="str">
        <f ca="1">IF(AND(LEN(W712)&gt;0,F$8=0),IF(X712=2,W712&amp;" +2, ",W712&amp;", "),"")</f>
        <v/>
      </c>
    </row>
    <row r="713" spans="1:29">
      <c r="A713" s="95">
        <v>8</v>
      </c>
      <c r="B713" s="95">
        <f ca="1">IF(Doubles!K98="",0,Doubles!K98)</f>
        <v>0</v>
      </c>
      <c r="C713" s="99" t="str">
        <f ca="1">IF(OR(LEFT(B713,LEN(B$9))=B$9,LEFT(B713,LEN(C$9))=C$9,LEN(B713)&lt;2),"",IF(B713="no pick","","Wrong pick"))</f>
        <v/>
      </c>
      <c r="D713" s="95">
        <f t="shared" ca="1" si="268"/>
        <v>0</v>
      </c>
      <c r="E713" s="95">
        <f t="shared" ca="1" si="269"/>
        <v>1</v>
      </c>
      <c r="G713" s="95" t="str">
        <f ca="1">IF(B713=0,"",IF(B713="no pick","No Pick",IF(LEFT(B713,LEN(B$9))=B$9,B$9,C$9)))</f>
        <v/>
      </c>
      <c r="H713" s="95" t="str">
        <f t="shared" ca="1" si="270"/>
        <v>0-0</v>
      </c>
      <c r="I713" s="95" t="str">
        <f>IF(AND(J713=$I$2,F$9=0,NOT(E$9="")),IF(OR(AND(Y713=AA713,Z713=AB713),AND(Y713=AB713,Z713=AA713)),"",IF(AND(Y713=Z713,AA713=AB713),Y713&amp;" +2 v. "&amp;AA713&amp;" +2, ",IF(Y713=AA713,Z713&amp;" v. "&amp;AB713&amp;", ",IF(Z713=AB713,Y713&amp;" v. "&amp;AA713&amp;", ",IF(Y713=AB713,Z713&amp;" v. "&amp;AA713&amp;", ",IF(Z713=AA713,Y713&amp;" v. "&amp;AB713&amp;", ",Y713&amp;" v. "&amp;AA713&amp;", "&amp;Z713&amp;" v. "&amp;AB713&amp;", ")))))),"")</f>
        <v/>
      </c>
      <c r="J713" s="97">
        <f>D$9</f>
        <v>1</v>
      </c>
      <c r="K713" s="95" t="str">
        <f t="shared" ca="1" si="271"/>
        <v>SR</v>
      </c>
      <c r="L713" s="95" t="str">
        <f t="shared" ca="1" si="272"/>
        <v>0</v>
      </c>
      <c r="M713" s="95" t="str">
        <f t="shared" ca="1" si="273"/>
        <v>0</v>
      </c>
      <c r="N713" s="95" t="str">
        <f t="shared" ca="1" si="274"/>
        <v>0</v>
      </c>
      <c r="O713" s="95" t="str">
        <f t="shared" ca="1" si="275"/>
        <v>0</v>
      </c>
      <c r="P713" s="95" t="str">
        <f t="shared" ca="1" si="276"/>
        <v>0</v>
      </c>
      <c r="Q713" s="95">
        <f ca="1">IF(AND(G713=T$9,LEN(G713)&gt;1),1,0)</f>
        <v>0</v>
      </c>
      <c r="R713" s="97">
        <f>Doubles!G$9</f>
        <v>8</v>
      </c>
      <c r="S713" s="95">
        <f ca="1">IF(AND(H713=H$9,LEN(H713)&gt;1,Q713=1),1,0)</f>
        <v>0</v>
      </c>
      <c r="V713" s="97">
        <f ca="1">VLOOKUP(8,R706:S729,2,0)</f>
        <v>0</v>
      </c>
      <c r="W713" s="95" t="str">
        <f t="shared" ca="1" si="277"/>
        <v/>
      </c>
      <c r="X713" s="95">
        <f ca="1">IF(F$9=0,IF(AND(G687=G739,NOT(G661=G687),NOT(G713=G739),LEN(W661)&gt;0),2,IF(LEN(W661)=0,0,1)),0)</f>
        <v>0</v>
      </c>
      <c r="AC713" s="95" t="str">
        <f ca="1">IF(AND(LEN(W713)&gt;0,F$9=0),IF(X713=2,W713&amp;" +2, ",W713&amp;", "),"")</f>
        <v/>
      </c>
    </row>
    <row r="714" spans="1:29">
      <c r="A714" s="95">
        <v>9</v>
      </c>
      <c r="B714" s="95">
        <f ca="1">IF(Doubles!K99="",0,Doubles!K99)</f>
        <v>0</v>
      </c>
      <c r="C714" s="99" t="str">
        <f ca="1">IF(OR(LEFT(B714,LEN(B$10))=B$10,LEFT(B714,LEN(C$10))=C$10,LEN(B714)&lt;2),"",IF(B714="no pick","","Wrong pick"))</f>
        <v/>
      </c>
      <c r="D714" s="95">
        <f t="shared" ca="1" si="268"/>
        <v>0</v>
      </c>
      <c r="E714" s="95">
        <f t="shared" ca="1" si="269"/>
        <v>1</v>
      </c>
      <c r="G714" s="95" t="str">
        <f ca="1">IF(B714=0,"",IF(B714="no pick","No Pick",IF(LEFT(B714,LEN(B$10))=B$10,B$10,C$10)))</f>
        <v/>
      </c>
      <c r="H714" s="95" t="str">
        <f t="shared" ca="1" si="270"/>
        <v>0-0</v>
      </c>
      <c r="I714" s="95" t="str">
        <f>IF(AND(J714=$I$2,F$10=0,NOT(E$10="")),IF(OR(AND(Y714=AA714,Z714=AB714),AND(Y714=AB714,Z714=AA714)),"",IF(AND(Y714=Z714,AA714=AB714),Y714&amp;" +2 v. "&amp;AA714&amp;" +2, ",IF(Y714=AA714,Z714&amp;" v. "&amp;AB714&amp;", ",IF(Z714=AB714,Y714&amp;" v. "&amp;AA714&amp;", ",IF(Y714=AB714,Z714&amp;" v. "&amp;AA714&amp;", ",IF(Z714=AA714,Y714&amp;" v. "&amp;AB714&amp;", ",Y714&amp;" v. "&amp;AA714&amp;", "&amp;Z714&amp;" v. "&amp;AB714&amp;", ")))))),"")</f>
        <v/>
      </c>
      <c r="J714" s="97">
        <f>D$10</f>
        <v>1</v>
      </c>
      <c r="K714" s="95" t="str">
        <f t="shared" ca="1" si="271"/>
        <v>SR</v>
      </c>
      <c r="L714" s="95" t="str">
        <f t="shared" ca="1" si="272"/>
        <v>0</v>
      </c>
      <c r="M714" s="95" t="str">
        <f t="shared" ca="1" si="273"/>
        <v>0</v>
      </c>
      <c r="N714" s="95" t="str">
        <f t="shared" ca="1" si="274"/>
        <v>0</v>
      </c>
      <c r="O714" s="95" t="str">
        <f t="shared" ca="1" si="275"/>
        <v>0</v>
      </c>
      <c r="P714" s="95" t="str">
        <f t="shared" ca="1" si="276"/>
        <v>0</v>
      </c>
      <c r="Q714" s="95">
        <f ca="1">IF(AND(G714=T$10,LEN(G714)&gt;1),1,0)</f>
        <v>0</v>
      </c>
      <c r="R714" s="97">
        <f>Doubles!G$10</f>
        <v>9</v>
      </c>
      <c r="S714" s="95">
        <f ca="1">IF(AND(H714=H$10,LEN(H714)&gt;1,Q714=1),1,0)</f>
        <v>0</v>
      </c>
      <c r="T714" s="97" t="e">
        <f>VLOOKUP("Winner",T732:U748,2,0)</f>
        <v>#N/A</v>
      </c>
      <c r="U714" s="95" t="e">
        <f>VLOOKUP(T714,U732:W748,3,0)</f>
        <v>#N/A</v>
      </c>
      <c r="V714" s="97">
        <f ca="1">VLOOKUP(9,R706:S729,2,0)</f>
        <v>0</v>
      </c>
      <c r="W714" s="95" t="str">
        <f t="shared" ca="1" si="277"/>
        <v/>
      </c>
      <c r="X714" s="95">
        <f ca="1">IF(F$10=0,IF(AND(G688=G740,NOT(G662=G688),NOT(G714=G740),LEN(W662)&gt;0),2,IF(LEN(W662)=0,0,1)),0)</f>
        <v>0</v>
      </c>
      <c r="AC714" s="95" t="str">
        <f ca="1">IF(AND(LEN(W714)&gt;0,F$10=0),IF(X714=2,W714&amp;" +2, ",W714&amp;", "),"")</f>
        <v/>
      </c>
    </row>
    <row r="715" spans="1:29">
      <c r="A715" s="95">
        <v>10</v>
      </c>
      <c r="B715" s="95">
        <f ca="1">IF(Doubles!K100="",0,Doubles!K100)</f>
        <v>0</v>
      </c>
      <c r="C715" s="99" t="str">
        <f ca="1">IF(OR(LEFT(B715,LEN(B$11))=B$11,LEFT(B715,LEN(C$11))=C$11,LEN(B715)&lt;2),"",IF(B715="no pick","","Wrong pick"))</f>
        <v/>
      </c>
      <c r="D715" s="95">
        <f t="shared" ca="1" si="268"/>
        <v>0</v>
      </c>
      <c r="E715" s="95">
        <f t="shared" ca="1" si="269"/>
        <v>1</v>
      </c>
      <c r="G715" s="95" t="str">
        <f ca="1">IF(B715=0,"",IF(B715="no pick","No Pick",IF(LEFT(B715,LEN(B$11))=B$11,B$11,C$11)))</f>
        <v/>
      </c>
      <c r="H715" s="95" t="str">
        <f t="shared" ca="1" si="270"/>
        <v>0-0</v>
      </c>
      <c r="I715" s="95" t="str">
        <f>IF(AND(J715=$I$2,F$11=0,NOT(E$11="")),IF(OR(AND(Y715=AA715,Z715=AB715),AND(Y715=AB715,Z715=AA715)),"",IF(AND(Y715=Z715,AA715=AB715),Y715&amp;" +2 v. "&amp;AA715&amp;" +2, ",IF(Y715=AA715,Z715&amp;" v. "&amp;AB715&amp;", ",IF(Z715=AB715,Y715&amp;" v. "&amp;AA715&amp;", ",IF(Y715=AB715,Z715&amp;" v. "&amp;AA715&amp;", ",IF(Z715=AA715,Y715&amp;" v. "&amp;AB715&amp;", ",Y715&amp;" v. "&amp;AA715&amp;", "&amp;Z715&amp;" v. "&amp;AB715&amp;", ")))))),"")</f>
        <v/>
      </c>
      <c r="J715" s="97">
        <f>D$11</f>
        <v>1</v>
      </c>
      <c r="K715" s="95" t="str">
        <f t="shared" ca="1" si="271"/>
        <v>SR</v>
      </c>
      <c r="L715" s="95" t="str">
        <f t="shared" ca="1" si="272"/>
        <v>0</v>
      </c>
      <c r="M715" s="95" t="str">
        <f t="shared" ca="1" si="273"/>
        <v>0</v>
      </c>
      <c r="N715" s="95" t="str">
        <f t="shared" ca="1" si="274"/>
        <v>0</v>
      </c>
      <c r="O715" s="95" t="str">
        <f t="shared" ca="1" si="275"/>
        <v>0</v>
      </c>
      <c r="P715" s="95" t="str">
        <f t="shared" ca="1" si="276"/>
        <v>0</v>
      </c>
      <c r="Q715" s="95">
        <f ca="1">IF(AND(G715=T$11,LEN(G715)&gt;1),1,0)</f>
        <v>0</v>
      </c>
      <c r="R715" s="97">
        <f>Doubles!G$11</f>
        <v>10</v>
      </c>
      <c r="S715" s="95">
        <f ca="1">IF(AND(H715=H$11,LEN(H715)&gt;1,Q715=1),1,0)</f>
        <v>0</v>
      </c>
      <c r="V715" s="97">
        <f ca="1">VLOOKUP(10,R706:S729,2,0)</f>
        <v>0</v>
      </c>
      <c r="W715" s="95" t="str">
        <f t="shared" ca="1" si="277"/>
        <v/>
      </c>
      <c r="X715" s="95">
        <f ca="1">IF(F$11=0,IF(AND(G689=G741,NOT(G663=G689),NOT(G715=G741),LEN(W663)&gt;0),2,IF(LEN(W663)=0,0,1)),0)</f>
        <v>0</v>
      </c>
      <c r="AC715" s="95" t="str">
        <f ca="1">IF(AND(LEN(W715)&gt;0,F$11=0),IF(X715=2,W715&amp;" +2, ",W715&amp;", "),"")</f>
        <v/>
      </c>
    </row>
    <row r="716" spans="1:29">
      <c r="A716" s="95">
        <v>11</v>
      </c>
      <c r="B716" s="95">
        <f ca="1">IF(Doubles!K101="",0,Doubles!K101)</f>
        <v>0</v>
      </c>
      <c r="C716" s="99" t="str">
        <f ca="1">IF(OR(LEFT(B716,LEN(B$12))=B$12,LEFT(B716,LEN(C$12))=C$12,LEN(B716)&lt;2),"",IF(B716="no pick","","Wrong pick"))</f>
        <v/>
      </c>
      <c r="D716" s="95">
        <f t="shared" ca="1" si="268"/>
        <v>0</v>
      </c>
      <c r="E716" s="95">
        <f t="shared" ca="1" si="269"/>
        <v>1</v>
      </c>
      <c r="G716" s="95" t="str">
        <f ca="1">IF(B716=0,"",IF(B716="no pick","No Pick",IF(LEFT(B716,LEN(B$12))=B$12,B$12,C$12)))</f>
        <v/>
      </c>
      <c r="H716" s="95" t="str">
        <f t="shared" ca="1" si="270"/>
        <v>0-0</v>
      </c>
      <c r="I716" s="95" t="str">
        <f>IF(AND(J716=$I$2,F$12=0,NOT(E$12="")),IF(OR(AND(Y716=AA716,Z716=AB716),AND(Y716=AB716,Z716=AA716)),"",IF(AND(Y716=Z716,AA716=AB716),Y716&amp;" +2 v. "&amp;AA716&amp;" +2, ",IF(Y716=AA716,Z716&amp;" v. "&amp;AB716&amp;", ",IF(Z716=AB716,Y716&amp;" v. "&amp;AA716&amp;", ",IF(Y716=AB716,Z716&amp;" v. "&amp;AA716&amp;", ",IF(Z716=AA716,Y716&amp;" v. "&amp;AB716&amp;", ",Y716&amp;" v. "&amp;AA716&amp;", "&amp;Z716&amp;" v. "&amp;AB716&amp;", ")))))),"")</f>
        <v/>
      </c>
      <c r="J716" s="97">
        <f>D$12</f>
        <v>1</v>
      </c>
      <c r="K716" s="95" t="str">
        <f t="shared" ca="1" si="271"/>
        <v>SR</v>
      </c>
      <c r="L716" s="95" t="str">
        <f t="shared" ca="1" si="272"/>
        <v>0</v>
      </c>
      <c r="M716" s="95" t="str">
        <f t="shared" ca="1" si="273"/>
        <v>0</v>
      </c>
      <c r="N716" s="95" t="str">
        <f t="shared" ca="1" si="274"/>
        <v>0</v>
      </c>
      <c r="O716" s="95" t="str">
        <f t="shared" ca="1" si="275"/>
        <v>0</v>
      </c>
      <c r="P716" s="95" t="str">
        <f t="shared" ca="1" si="276"/>
        <v>0</v>
      </c>
      <c r="Q716" s="95">
        <f ca="1">IF(AND(G716=T$12,LEN(G716)&gt;1),1,0)</f>
        <v>0</v>
      </c>
      <c r="R716" s="97">
        <f>Doubles!G$12</f>
        <v>11</v>
      </c>
      <c r="S716" s="95">
        <f ca="1">IF(AND(H716=H$12,LEN(H716)&gt;1,Q716=1),1,0)</f>
        <v>0</v>
      </c>
      <c r="V716" s="97">
        <f ca="1">VLOOKUP(11,R706:S729,2,0)</f>
        <v>0</v>
      </c>
      <c r="W716" s="95" t="str">
        <f t="shared" ca="1" si="277"/>
        <v/>
      </c>
      <c r="X716" s="95">
        <f ca="1">IF(F$12=0,IF(AND(G690=G742,NOT(G664=G690),NOT(G716=G742),LEN(W664)&gt;0),2,IF(LEN(W664)=0,0,1)),0)</f>
        <v>0</v>
      </c>
      <c r="AC716" s="95" t="str">
        <f ca="1">IF(AND(LEN(W716)&gt;0,F$12=0),IF(X716=2,W716&amp;" +2, ",W716&amp;", "),"")</f>
        <v/>
      </c>
    </row>
    <row r="717" spans="1:29">
      <c r="A717" s="95">
        <v>12</v>
      </c>
      <c r="B717" s="95">
        <f ca="1">IF(Doubles!K102="",0,Doubles!K102)</f>
        <v>0</v>
      </c>
      <c r="C717" s="99" t="str">
        <f ca="1">IF(OR(LEFT(B717,LEN(B$13))=B$13,LEFT(B717,LEN(C$13))=C$13,LEN(B717)&lt;2),"",IF(B717="no pick","","Wrong pick"))</f>
        <v/>
      </c>
      <c r="D717" s="95">
        <f t="shared" ca="1" si="268"/>
        <v>0</v>
      </c>
      <c r="E717" s="95">
        <f t="shared" ca="1" si="269"/>
        <v>1</v>
      </c>
      <c r="G717" s="95" t="str">
        <f ca="1">IF(B717=0,"",IF(B717="no pick","No Pick",IF(LEFT(B717,LEN(B$13))=B$13,B$13,C$13)))</f>
        <v/>
      </c>
      <c r="H717" s="95" t="str">
        <f t="shared" ca="1" si="270"/>
        <v>0-0</v>
      </c>
      <c r="I717" s="95" t="str">
        <f>IF(AND(J717=$I$2,F$13=0,NOT(E$13="")),IF(OR(AND(Y717=AA717,Z717=AB717),AND(Y717=AB717,Z717=AA717)),"",IF(AND(Y717=Z717,AA717=AB717),Y717&amp;" +2 v. "&amp;AA717&amp;" +2, ",IF(Y717=AA717,Z717&amp;" v. "&amp;AB717&amp;", ",IF(Z717=AB717,Y717&amp;" v. "&amp;AA717&amp;", ",IF(Y717=AB717,Z717&amp;" v. "&amp;AA717&amp;", ",IF(Z717=AA717,Y717&amp;" v. "&amp;AB717&amp;", ",Y717&amp;" v. "&amp;AA717&amp;", "&amp;Z717&amp;" v. "&amp;AB717&amp;", ")))))),"")</f>
        <v/>
      </c>
      <c r="J717" s="97">
        <f>D$13</f>
        <v>1</v>
      </c>
      <c r="K717" s="95" t="str">
        <f t="shared" ca="1" si="271"/>
        <v>SR</v>
      </c>
      <c r="L717" s="95" t="str">
        <f t="shared" ca="1" si="272"/>
        <v>0</v>
      </c>
      <c r="M717" s="95" t="str">
        <f t="shared" ca="1" si="273"/>
        <v>0</v>
      </c>
      <c r="N717" s="95" t="str">
        <f t="shared" ca="1" si="274"/>
        <v>0</v>
      </c>
      <c r="O717" s="95" t="str">
        <f t="shared" ca="1" si="275"/>
        <v>0</v>
      </c>
      <c r="P717" s="95" t="str">
        <f t="shared" ca="1" si="276"/>
        <v>0</v>
      </c>
      <c r="Q717" s="95">
        <f ca="1">IF(AND(G717=T$13,LEN(G717)&gt;1),1,0)</f>
        <v>0</v>
      </c>
      <c r="R717" s="97">
        <f>Doubles!G$13</f>
        <v>12</v>
      </c>
      <c r="S717" s="95">
        <f ca="1">IF(AND(H717=H$13,LEN(H717)&gt;1,Q717=1),1,0)</f>
        <v>0</v>
      </c>
      <c r="V717" s="97">
        <f ca="1">VLOOKUP(12,R706:S729,2,0)</f>
        <v>0</v>
      </c>
      <c r="W717" s="95" t="str">
        <f t="shared" ca="1" si="277"/>
        <v/>
      </c>
      <c r="X717" s="95">
        <f ca="1">IF(F$13=0,IF(AND(G691=G743,NOT(G665=G691),NOT(G717=G743),LEN(W665)&gt;0),2,IF(LEN(W665)=0,0,1)),0)</f>
        <v>0</v>
      </c>
      <c r="AC717" s="95" t="str">
        <f ca="1">IF(AND(LEN(W717)&gt;0,F$13=0),IF(X717=2,W717&amp;" +2, ",W717&amp;", "),"")</f>
        <v/>
      </c>
    </row>
    <row r="718" spans="1:29">
      <c r="A718" s="95">
        <v>13</v>
      </c>
      <c r="B718" s="95">
        <f ca="1">IF(Doubles!K103="",0,Doubles!K103)</f>
        <v>0</v>
      </c>
      <c r="C718" s="99" t="str">
        <f ca="1">IF(OR(LEFT(B718,LEN(B$14))=B$14,LEFT(B718,LEN(C$14))=C$14,LEN(B718)&lt;2),"",IF(B718="no pick","","Wrong pick"))</f>
        <v/>
      </c>
      <c r="D718" s="95">
        <f t="shared" ca="1" si="268"/>
        <v>0</v>
      </c>
      <c r="E718" s="95">
        <f t="shared" ca="1" si="269"/>
        <v>1</v>
      </c>
      <c r="G718" s="95" t="str">
        <f ca="1">IF(B718=0,"",IF(B718="no pick","No Pick",IF(LEFT(B718,LEN(B$14))=B$14,B$14,C$14)))</f>
        <v/>
      </c>
      <c r="H718" s="95" t="str">
        <f t="shared" ca="1" si="270"/>
        <v>0-0</v>
      </c>
      <c r="I718" s="95" t="str">
        <f>IF(AND(J718=$I$2,F$14=0,NOT(E$14="")),IF(OR(AND(Y718=AA718,Z718=AB718),AND(Y718=AB718,Z718=AA718)),"",IF(AND(Y718=Z718,AA718=AB718),Y718&amp;" +2 v. "&amp;AA718&amp;" +2, ",IF(Y718=AA718,Z718&amp;" v. "&amp;AB718&amp;", ",IF(Z718=AB718,Y718&amp;" v. "&amp;AA718&amp;", ",IF(Y718=AB718,Z718&amp;" v. "&amp;AA718&amp;", ",IF(Z718=AA718,Y718&amp;" v. "&amp;AB718&amp;", ",Y718&amp;" v. "&amp;AA718&amp;", "&amp;Z718&amp;" v. "&amp;AB718&amp;", ")))))),"")</f>
        <v/>
      </c>
      <c r="J718" s="97">
        <f>D$14</f>
        <v>1</v>
      </c>
      <c r="K718" s="95" t="str">
        <f t="shared" ca="1" si="271"/>
        <v>SR</v>
      </c>
      <c r="L718" s="95" t="str">
        <f t="shared" ca="1" si="272"/>
        <v>0</v>
      </c>
      <c r="M718" s="95" t="str">
        <f t="shared" ca="1" si="273"/>
        <v>0</v>
      </c>
      <c r="N718" s="95" t="str">
        <f t="shared" ca="1" si="274"/>
        <v>0</v>
      </c>
      <c r="O718" s="95" t="str">
        <f t="shared" ca="1" si="275"/>
        <v>0</v>
      </c>
      <c r="P718" s="95" t="str">
        <f t="shared" ca="1" si="276"/>
        <v>0</v>
      </c>
      <c r="Q718" s="95">
        <f ca="1">IF(AND(G718=T$14,LEN(G718)&gt;1),1,0)</f>
        <v>0</v>
      </c>
      <c r="R718" s="97">
        <f>Doubles!G$14</f>
        <v>13</v>
      </c>
      <c r="S718" s="95">
        <f ca="1">IF(AND(H718=H$14,LEN(H718)&gt;1,Q718=1),1,0)</f>
        <v>0</v>
      </c>
      <c r="V718" s="97">
        <f ca="1">VLOOKUP(13,R706:S729,2,0)</f>
        <v>0</v>
      </c>
      <c r="W718" s="95" t="str">
        <f t="shared" ca="1" si="277"/>
        <v/>
      </c>
      <c r="X718" s="95">
        <f ca="1">IF(F$14=0,IF(AND(G692=G744,NOT(G666=G692),NOT(G718=G744),LEN(W666)&gt;0),2,IF(LEN(W666)=0,0,1)),0)</f>
        <v>0</v>
      </c>
      <c r="AC718" s="95" t="str">
        <f ca="1">IF(AND(LEN(W718)&gt;0,F$14=0),IF(X718=2,W718&amp;" +2, ",W718&amp;", "),"")</f>
        <v/>
      </c>
    </row>
    <row r="719" spans="1:29">
      <c r="A719" s="95">
        <v>14</v>
      </c>
      <c r="B719" s="95">
        <f ca="1">IF(Doubles!K104="",0,Doubles!K104)</f>
        <v>0</v>
      </c>
      <c r="C719" s="99" t="str">
        <f ca="1">IF(OR(LEFT(B719,LEN(B$15))=B$15,LEFT(B719,LEN(C$15))=C$15,LEN(B719)&lt;2),"",IF(B719="no pick","","Wrong pick"))</f>
        <v/>
      </c>
      <c r="D719" s="95">
        <f t="shared" ca="1" si="268"/>
        <v>0</v>
      </c>
      <c r="E719" s="95">
        <f t="shared" ca="1" si="269"/>
        <v>1</v>
      </c>
      <c r="G719" s="95" t="str">
        <f ca="1">IF(B719=0,"",IF(B719="no pick","No Pick",IF(LEFT(B719,LEN(B$15))=B$15,B$15,C$15)))</f>
        <v/>
      </c>
      <c r="H719" s="95" t="str">
        <f t="shared" ca="1" si="270"/>
        <v>0-0</v>
      </c>
      <c r="I719" s="95" t="str">
        <f>IF(AND(J719=$I$2,F$15=0,NOT(E$15="")),IF(OR(AND(Y719=AA719,Z719=AB719),AND(Y719=AB719,Z719=AA719)),"",IF(AND(Y719=Z719,AA719=AB719),Y719&amp;" +2 v. "&amp;AA719&amp;" +2, ",IF(Y719=AA719,Z719&amp;" v. "&amp;AB719&amp;", ",IF(Z719=AB719,Y719&amp;" v. "&amp;AA719&amp;", ",IF(Y719=AB719,Z719&amp;" v. "&amp;AA719&amp;", ",IF(Z719=AA719,Y719&amp;" v. "&amp;AB719&amp;", ",Y719&amp;" v. "&amp;AA719&amp;", "&amp;Z719&amp;" v. "&amp;AB719&amp;", ")))))),"")</f>
        <v/>
      </c>
      <c r="J719" s="97">
        <f>D$15</f>
        <v>1</v>
      </c>
      <c r="K719" s="95" t="str">
        <f t="shared" ca="1" si="271"/>
        <v>SR</v>
      </c>
      <c r="L719" s="95" t="str">
        <f t="shared" ca="1" si="272"/>
        <v>0</v>
      </c>
      <c r="M719" s="95" t="str">
        <f t="shared" ca="1" si="273"/>
        <v>0</v>
      </c>
      <c r="N719" s="95" t="str">
        <f t="shared" ca="1" si="274"/>
        <v>0</v>
      </c>
      <c r="O719" s="95" t="str">
        <f t="shared" ca="1" si="275"/>
        <v>0</v>
      </c>
      <c r="P719" s="95" t="str">
        <f t="shared" ca="1" si="276"/>
        <v>0</v>
      </c>
      <c r="Q719" s="95">
        <f ca="1">IF(AND(G719=T$15,LEN(G719)&gt;1),1,0)</f>
        <v>0</v>
      </c>
      <c r="R719" s="97">
        <f>Doubles!G$15</f>
        <v>14</v>
      </c>
      <c r="S719" s="95">
        <f ca="1">IF(AND(H719=H$15,LEN(H719)&gt;1,Q719=1),1,0)</f>
        <v>0</v>
      </c>
      <c r="V719" s="97">
        <f ca="1">VLOOKUP(14,R706:S729,2,0)</f>
        <v>0</v>
      </c>
      <c r="W719" s="95" t="str">
        <f t="shared" ca="1" si="277"/>
        <v/>
      </c>
      <c r="X719" s="95">
        <f ca="1">IF(F$15=0,IF(AND(G693=G745,NOT(G667=G693),NOT(G719=G745),LEN(W667)&gt;0),2,IF(LEN(W667)=0,0,1)),0)</f>
        <v>0</v>
      </c>
      <c r="AC719" s="95" t="str">
        <f ca="1">IF(AND(LEN(W719)&gt;0,F$15=0),IF(X719=2,W719&amp;" +2, ",W719&amp;", "),"")</f>
        <v/>
      </c>
    </row>
    <row r="720" spans="1:29">
      <c r="A720" s="95">
        <v>15</v>
      </c>
      <c r="B720" s="95">
        <f ca="1">IF(Doubles!K105="",0,Doubles!K105)</f>
        <v>0</v>
      </c>
      <c r="C720" s="99" t="str">
        <f ca="1">IF(OR(LEFT(B720,LEN(B$16))=B$16,LEFT(B720,LEN(C$16))=C$16,LEN(B720)&lt;2),"",IF(B720="no pick","","Wrong pick"))</f>
        <v/>
      </c>
      <c r="D720" s="95">
        <f t="shared" ca="1" si="268"/>
        <v>0</v>
      </c>
      <c r="E720" s="95">
        <f t="shared" ca="1" si="269"/>
        <v>1</v>
      </c>
      <c r="G720" s="95" t="str">
        <f ca="1">IF(B720=0,"",IF(B720="no pick","No Pick",IF(LEFT(B720,LEN(B$16))=B$16,B$16,C$16)))</f>
        <v/>
      </c>
      <c r="H720" s="95" t="str">
        <f t="shared" ca="1" si="270"/>
        <v>0-0</v>
      </c>
      <c r="I720" s="95" t="str">
        <f>IF(AND(J720=$I$2,F$16=0,NOT(E$16="")),IF(OR(AND(Y720=AA720,Z720=AB720),AND(Y720=AB720,Z720=AA720)),"",IF(AND(Y720=Z720,AA720=AB720),Y720&amp;" +2 v. "&amp;AA720&amp;" +2, ",IF(Y720=AA720,Z720&amp;" v. "&amp;AB720&amp;", ",IF(Z720=AB720,Y720&amp;" v. "&amp;AA720&amp;", ",IF(Y720=AB720,Z720&amp;" v. "&amp;AA720&amp;", ",IF(Z720=AA720,Y720&amp;" v. "&amp;AB720&amp;", ",Y720&amp;" v. "&amp;AA720&amp;", "&amp;Z720&amp;" v. "&amp;AB720&amp;", ")))))),"")</f>
        <v/>
      </c>
      <c r="J720" s="97">
        <f>D$16</f>
        <v>1</v>
      </c>
      <c r="K720" s="95" t="str">
        <f t="shared" ca="1" si="271"/>
        <v>SR</v>
      </c>
      <c r="L720" s="95" t="str">
        <f t="shared" ca="1" si="272"/>
        <v>0</v>
      </c>
      <c r="M720" s="95" t="str">
        <f t="shared" ca="1" si="273"/>
        <v>0</v>
      </c>
      <c r="N720" s="95" t="str">
        <f t="shared" ca="1" si="274"/>
        <v>0</v>
      </c>
      <c r="O720" s="95" t="str">
        <f t="shared" ca="1" si="275"/>
        <v>0</v>
      </c>
      <c r="P720" s="95" t="str">
        <f t="shared" ca="1" si="276"/>
        <v>0</v>
      </c>
      <c r="Q720" s="95">
        <f ca="1">IF(AND(G720=T$16,LEN(G720)&gt;1),1,0)</f>
        <v>0</v>
      </c>
      <c r="R720" s="97">
        <f>Doubles!G$16</f>
        <v>15</v>
      </c>
      <c r="S720" s="95">
        <f ca="1">IF(AND(H720=H$16,LEN(H720)&gt;1,Q720=1),1,0)</f>
        <v>0</v>
      </c>
      <c r="V720" s="97">
        <f ca="1">VLOOKUP(15,R706:S729,2,0)</f>
        <v>0</v>
      </c>
      <c r="W720" s="95" t="str">
        <f t="shared" ca="1" si="277"/>
        <v/>
      </c>
      <c r="X720" s="95">
        <f ca="1">IF(F$16=0,IF(AND(G694=G746,NOT(G668=G694),NOT(G720=G746),LEN(W668)&gt;0),2,IF(LEN(W668)=0,0,1)),0)</f>
        <v>0</v>
      </c>
      <c r="AC720" s="95" t="str">
        <f ca="1">IF(AND(LEN(W720)&gt;0,F$16=0),IF(X720=2,W720&amp;" +2, ",W720&amp;", "),"")</f>
        <v/>
      </c>
    </row>
    <row r="721" spans="1:29">
      <c r="A721" s="95">
        <v>16</v>
      </c>
      <c r="B721" s="95">
        <f ca="1">IF(Doubles!K106="",0,Doubles!K106)</f>
        <v>0</v>
      </c>
      <c r="C721" s="99" t="str">
        <f ca="1">IF(OR(LEFT(B721,LEN(B$17))=B$17,LEFT(B721,LEN(C$17))=C$17,LEN(B721)&lt;2),"",IF(B721="no pick","","Wrong pick"))</f>
        <v/>
      </c>
      <c r="D721" s="95">
        <f t="shared" ca="1" si="268"/>
        <v>0</v>
      </c>
      <c r="E721" s="95">
        <f t="shared" ca="1" si="269"/>
        <v>1</v>
      </c>
      <c r="G721" s="95" t="str">
        <f ca="1">IF(B721=0,"",IF(B721="no pick","No Pick",IF(LEFT(B721,LEN(B$17))=B$17,B$17,C$17)))</f>
        <v/>
      </c>
      <c r="H721" s="95" t="str">
        <f t="shared" ca="1" si="270"/>
        <v>0-0</v>
      </c>
      <c r="I721" s="95" t="str">
        <f>IF(AND(J721=$I$2,F$17=0,NOT(E$17="")),IF(OR(AND(Y721=AA721,Z721=AB721),AND(Y721=AB721,Z721=AA721)),"",IF(AND(Y721=Z721,AA721=AB721),Y721&amp;" +2 v. "&amp;AA721&amp;" +2, ",IF(Y721=AA721,Z721&amp;" v. "&amp;AB721&amp;", ",IF(Z721=AB721,Y721&amp;" v. "&amp;AA721&amp;", ",IF(Y721=AB721,Z721&amp;" v. "&amp;AA721&amp;", ",IF(Z721=AA721,Y721&amp;" v. "&amp;AB721&amp;", ",Y721&amp;" v. "&amp;AA721&amp;", "&amp;Z721&amp;" v. "&amp;AB721&amp;", ")))))),"")</f>
        <v/>
      </c>
      <c r="J721" s="97">
        <f>D$17</f>
        <v>1</v>
      </c>
      <c r="K721" s="95" t="str">
        <f t="shared" ca="1" si="271"/>
        <v>SR</v>
      </c>
      <c r="L721" s="95" t="str">
        <f t="shared" ca="1" si="272"/>
        <v>0</v>
      </c>
      <c r="M721" s="95" t="str">
        <f t="shared" ca="1" si="273"/>
        <v>0</v>
      </c>
      <c r="N721" s="95" t="str">
        <f t="shared" ca="1" si="274"/>
        <v>0</v>
      </c>
      <c r="O721" s="95" t="str">
        <f t="shared" ca="1" si="275"/>
        <v>0</v>
      </c>
      <c r="P721" s="95" t="str">
        <f t="shared" ca="1" si="276"/>
        <v>0</v>
      </c>
      <c r="Q721" s="95">
        <f ca="1">IF(AND(G721=T$17,LEN(G721)&gt;1),1,0)</f>
        <v>0</v>
      </c>
      <c r="R721" s="97">
        <f>Doubles!G$17</f>
        <v>16</v>
      </c>
      <c r="S721" s="95">
        <f ca="1">IF(AND(H721=H$17,LEN(H721)&gt;1,Q721=1),1,0)</f>
        <v>0</v>
      </c>
      <c r="V721" s="97">
        <f ca="1">VLOOKUP(16,R706:S729,2,0)</f>
        <v>0</v>
      </c>
      <c r="W721" s="95" t="str">
        <f t="shared" ca="1" si="277"/>
        <v/>
      </c>
      <c r="X721" s="95">
        <f ca="1">IF(F$17=0,IF(AND(G695=G747,NOT(G669=G695),NOT(G721=G747),LEN(W669)&gt;0),2,IF(LEN(W669)=0,0,1)),0)</f>
        <v>0</v>
      </c>
      <c r="AC721" s="95" t="str">
        <f ca="1">IF(AND(LEN(W721)&gt;0,F$17=0),IF(X721=2,W721&amp;" +2, ",W721&amp;", "),"")</f>
        <v/>
      </c>
    </row>
    <row r="722" spans="1:29">
      <c r="A722" s="95">
        <v>17</v>
      </c>
      <c r="B722" s="95">
        <f>IF(Doubles!K107="",0,Doubles!K107)</f>
        <v>0</v>
      </c>
      <c r="C722" s="99" t="str">
        <f>IF(OR(LEFT(B722,LEN(B$18))=B$18,LEFT(B722,LEN(C$18))=C$18,LEN(B722)&lt;2),"",IF(B722="no pick","","Wrong pick"))</f>
        <v/>
      </c>
      <c r="D722" s="95">
        <f t="shared" si="268"/>
        <v>0</v>
      </c>
      <c r="E722" s="95">
        <f t="shared" si="269"/>
        <v>0</v>
      </c>
      <c r="G722" s="95" t="str">
        <f>IF(B722=0,"",IF(B722="no pick","No Pick",IF(LEFT(B722,LEN(B$18))=B$18,B$18,C$18)))</f>
        <v/>
      </c>
      <c r="H722" s="95" t="str">
        <f t="shared" si="270"/>
        <v>0-0</v>
      </c>
      <c r="I722" s="95" t="str">
        <f>IF(AND(J722=$I$2,F$18=0,NOT(E$18="")),IF(OR(AND(Y722=AA722,Z722=AB722),AND(Y722=AB722,Z722=AA722)),"",IF(AND(Y722=Z722,AA722=AB722),Y722&amp;" +2 v. "&amp;AA722&amp;" +2, ",IF(Y722=AA722,Z722&amp;" v. "&amp;AB722&amp;", ",IF(Z722=AB722,Y722&amp;" v. "&amp;AA722&amp;", ",IF(Y722=AB722,Z722&amp;" v. "&amp;AA722&amp;", ",IF(Z722=AA722,Y722&amp;" v. "&amp;AB722&amp;", ",Y722&amp;" v. "&amp;AA722&amp;", "&amp;Z722&amp;" v. "&amp;AB722&amp;", ")))))),"")</f>
        <v/>
      </c>
      <c r="J722" s="95">
        <f>D$18</f>
        <v>0</v>
      </c>
      <c r="K722" s="95" t="str">
        <f t="shared" si="271"/>
        <v>SR</v>
      </c>
      <c r="L722" s="95" t="str">
        <f t="shared" si="272"/>
        <v>0</v>
      </c>
      <c r="M722" s="95" t="str">
        <f t="shared" si="273"/>
        <v>0</v>
      </c>
      <c r="N722" s="95" t="str">
        <f t="shared" si="274"/>
        <v>0</v>
      </c>
      <c r="O722" s="95" t="str">
        <f t="shared" si="275"/>
        <v>0</v>
      </c>
      <c r="P722" s="95" t="str">
        <f t="shared" si="276"/>
        <v>0</v>
      </c>
      <c r="Q722" s="95">
        <f>IF(AND(G722=T$18,LEN(G722)&gt;1),1,0)</f>
        <v>0</v>
      </c>
      <c r="R722" s="97">
        <f>Doubles!G$18</f>
        <v>17</v>
      </c>
      <c r="S722" s="95">
        <f>IF(AND(H722=H$18,LEN(H722)&gt;1,Q722=1),1,0)</f>
        <v>0</v>
      </c>
      <c r="V722" s="95">
        <f>VLOOKUP(17,R706:S729,2,0)</f>
        <v>0</v>
      </c>
      <c r="W722" s="95" t="str">
        <f t="shared" si="277"/>
        <v/>
      </c>
      <c r="X722" s="95">
        <f>IF(F$18=0,IF(AND(G696=G748,NOT(G670=G696),NOT(G722=G748),LEN(W670)&gt;0),2,IF(LEN(W670)=0,0,1)),0)</f>
        <v>0</v>
      </c>
      <c r="AC722" s="95" t="str">
        <f>IF(AND(LEN(W722)&gt;0,F$18=0),IF(X722=2,W722&amp;" +2, ",W722&amp;", "),"")</f>
        <v/>
      </c>
    </row>
    <row r="723" spans="1:29">
      <c r="A723" s="95">
        <v>18</v>
      </c>
      <c r="B723" s="95">
        <f>IF(Doubles!K108="",0,Doubles!K108)</f>
        <v>0</v>
      </c>
      <c r="C723" s="99" t="str">
        <f>IF(OR(LEFT(B723,LEN(B$19))=B$19,LEFT(B723,LEN(C$19))=C$19,LEN(B723)&lt;2),"",IF(B723="no pick","","Wrong pick"))</f>
        <v/>
      </c>
      <c r="D723" s="95">
        <f t="shared" si="268"/>
        <v>0</v>
      </c>
      <c r="E723" s="95">
        <f t="shared" si="269"/>
        <v>0</v>
      </c>
      <c r="G723" s="95" t="str">
        <f>IF(B723=0,"",IF(B723="no pick","No Pick",IF(LEFT(B723,LEN(B$19))=B$19,B$19,C$19)))</f>
        <v/>
      </c>
      <c r="H723" s="95" t="str">
        <f t="shared" si="270"/>
        <v>0-0</v>
      </c>
      <c r="I723" s="95" t="str">
        <f>IF(AND(J723=$I$2,F$19=0,NOT(E$19="")),IF(OR(AND(Y723=AA723,Z723=AB723),AND(Y723=AB723,Z723=AA723)),"",IF(AND(Y723=Z723,AA723=AB723),Y723&amp;" +2 v. "&amp;AA723&amp;" +2, ",IF(Y723=AA723,Z723&amp;" v. "&amp;AB723&amp;", ",IF(Z723=AB723,Y723&amp;" v. "&amp;AA723&amp;", ",IF(Y723=AB723,Z723&amp;" v. "&amp;AA723&amp;", ",IF(Z723=AA723,Y723&amp;" v. "&amp;AB723&amp;", ",Y723&amp;" v. "&amp;AA723&amp;", "&amp;Z723&amp;" v. "&amp;AB723&amp;", ")))))),"")</f>
        <v/>
      </c>
      <c r="J723" s="95">
        <f>D$19</f>
        <v>0</v>
      </c>
      <c r="K723" s="95" t="str">
        <f t="shared" si="271"/>
        <v>SR</v>
      </c>
      <c r="L723" s="95" t="str">
        <f t="shared" si="272"/>
        <v>0</v>
      </c>
      <c r="M723" s="95" t="str">
        <f t="shared" si="273"/>
        <v>0</v>
      </c>
      <c r="N723" s="95" t="str">
        <f t="shared" si="274"/>
        <v>0</v>
      </c>
      <c r="O723" s="95" t="str">
        <f t="shared" si="275"/>
        <v>0</v>
      </c>
      <c r="P723" s="95" t="str">
        <f t="shared" si="276"/>
        <v>0</v>
      </c>
      <c r="Q723" s="95">
        <f>IF(AND(G723=T$19,LEN(G723)&gt;1),1,0)</f>
        <v>0</v>
      </c>
      <c r="R723" s="97">
        <f>Doubles!G$19</f>
        <v>18</v>
      </c>
      <c r="S723" s="95">
        <f>IF(AND(H723=H$19,LEN(H723)&gt;1,Q723=1),1,0)</f>
        <v>0</v>
      </c>
      <c r="V723" s="97">
        <f>VLOOKUP(18,R706:S729,2,0)</f>
        <v>0</v>
      </c>
      <c r="W723" s="95" t="str">
        <f t="shared" si="277"/>
        <v/>
      </c>
      <c r="X723" s="95">
        <f>IF(F$19=0,IF(AND(G697=G749,NOT(G671=G697),NOT(G723=G749),LEN(W671)&gt;0),2,IF(LEN(W671)=0,0,1)),0)</f>
        <v>0</v>
      </c>
      <c r="AC723" s="95" t="str">
        <f>IF(AND(LEN(W723)&gt;0,F$19=0),IF(X723=2,W723&amp;" +2, ",W723&amp;", "),"")</f>
        <v/>
      </c>
    </row>
    <row r="724" spans="1:29">
      <c r="A724" s="95">
        <v>19</v>
      </c>
      <c r="B724" s="95">
        <f>IF(Doubles!K109="",0,Doubles!K109)</f>
        <v>0</v>
      </c>
      <c r="C724" s="99" t="str">
        <f>IF(OR(LEFT(B724,LEN(B$20))=B$20,LEFT(B724,LEN(C$20))=C$20,LEN(B724)&lt;2),"",IF(B724="no pick","","Wrong pick"))</f>
        <v/>
      </c>
      <c r="D724" s="95">
        <f t="shared" si="268"/>
        <v>0</v>
      </c>
      <c r="E724" s="95">
        <f t="shared" si="269"/>
        <v>0</v>
      </c>
      <c r="G724" s="95" t="str">
        <f>IF(B724=0,"",IF(B724="no pick","No Pick",IF(LEFT(B724,LEN(B$20))=B$20,B$20,C$20)))</f>
        <v/>
      </c>
      <c r="H724" s="95" t="str">
        <f t="shared" si="270"/>
        <v>0-0</v>
      </c>
      <c r="I724" s="95" t="str">
        <f>IF(AND(J724=$I$2,F$20=0,NOT(E$20="")),IF(OR(AND(Y724=AA724,Z724=AB724),AND(Y724=AB724,Z724=AA724)),"",IF(AND(Y724=Z724,AA724=AB724),Y724&amp;" +2 v. "&amp;AA724&amp;" +2, ",IF(Y724=AA724,Z724&amp;" v. "&amp;AB724&amp;", ",IF(Z724=AB724,Y724&amp;" v. "&amp;AA724&amp;", ",IF(Y724=AB724,Z724&amp;" v. "&amp;AA724&amp;", ",IF(Z724=AA724,Y724&amp;" v. "&amp;AB724&amp;", ",Y724&amp;" v. "&amp;AA724&amp;", "&amp;Z724&amp;" v. "&amp;AB724&amp;", ")))))),"")</f>
        <v/>
      </c>
      <c r="J724" s="95">
        <f>D$20</f>
        <v>0</v>
      </c>
      <c r="K724" s="95" t="str">
        <f t="shared" si="271"/>
        <v>SR</v>
      </c>
      <c r="L724" s="95" t="str">
        <f t="shared" si="272"/>
        <v>0</v>
      </c>
      <c r="M724" s="95" t="str">
        <f t="shared" si="273"/>
        <v>0</v>
      </c>
      <c r="N724" s="95" t="str">
        <f t="shared" si="274"/>
        <v>0</v>
      </c>
      <c r="O724" s="95" t="str">
        <f t="shared" si="275"/>
        <v>0</v>
      </c>
      <c r="P724" s="95" t="str">
        <f t="shared" si="276"/>
        <v>0</v>
      </c>
      <c r="Q724" s="95">
        <f>IF(AND(G724=T$20,LEN(G724)&gt;1),1,0)</f>
        <v>0</v>
      </c>
      <c r="R724" s="97">
        <f>Doubles!G$20</f>
        <v>19</v>
      </c>
      <c r="S724" s="95">
        <f>IF(AND(H724=H$20,LEN(H724)&gt;1,Q724=1),1,0)</f>
        <v>0</v>
      </c>
      <c r="V724" s="97">
        <f>VLOOKUP(19,R706:S729,2,0)</f>
        <v>0</v>
      </c>
      <c r="W724" s="95" t="str">
        <f t="shared" si="277"/>
        <v/>
      </c>
      <c r="X724" s="95">
        <f>IF(F$20=0,IF(AND(G698=G750,NOT(G672=G698),NOT(G724=G750),LEN(W672)&gt;0),2,IF(LEN(W672)=0,0,1)),0)</f>
        <v>0</v>
      </c>
      <c r="AC724" s="95" t="str">
        <f>IF(AND(LEN(W724)&gt;0,F$20=0),IF(X724=2,W724&amp;" +2, ",W724&amp;", "),"")</f>
        <v/>
      </c>
    </row>
    <row r="725" spans="1:29">
      <c r="A725" s="95">
        <v>20</v>
      </c>
      <c r="B725" s="95">
        <f>IF(Doubles!K110="",0,Doubles!K110)</f>
        <v>0</v>
      </c>
      <c r="C725" s="99" t="str">
        <f>IF(OR(LEFT(B725,LEN(B$21))=B$21,LEFT(B725,LEN(C$21))=C$21,LEN(B725)&lt;2),"",IF(B725="no pick","","Wrong pick"))</f>
        <v/>
      </c>
      <c r="D725" s="95">
        <f t="shared" si="268"/>
        <v>0</v>
      </c>
      <c r="E725" s="95">
        <f t="shared" si="269"/>
        <v>0</v>
      </c>
      <c r="G725" s="95" t="str">
        <f>IF(B725=0,"",IF(B725="no pick","No Pick",IF(LEFT(B725,LEN(B$21))=B$21,B$21,C$21)))</f>
        <v/>
      </c>
      <c r="H725" s="95" t="str">
        <f t="shared" si="270"/>
        <v>0-0</v>
      </c>
      <c r="I725" s="95" t="str">
        <f>IF(AND(J725=$I$2,F$21=0,NOT(E$21="")),IF(OR(AND(Y725=AA725,Z725=AB725),AND(Y725=AB725,Z725=AA725)),"",IF(AND(Y725=Z725,AA725=AB725),Y725&amp;" +2 v. "&amp;AA725&amp;" +2, ",IF(Y725=AA725,Z725&amp;" v. "&amp;AB725&amp;", ",IF(Z725=AB725,Y725&amp;" v. "&amp;AA725&amp;", ",IF(Y725=AB725,Z725&amp;" v. "&amp;AA725&amp;", ",IF(Z725=AA725,Y725&amp;" v. "&amp;AB725&amp;", ",Y725&amp;" v. "&amp;AA725&amp;", "&amp;Z725&amp;" v. "&amp;AB725&amp;", ")))))),"")</f>
        <v/>
      </c>
      <c r="J725" s="95">
        <f>D$21</f>
        <v>0</v>
      </c>
      <c r="K725" s="95" t="str">
        <f t="shared" si="271"/>
        <v>SR</v>
      </c>
      <c r="L725" s="95" t="str">
        <f t="shared" si="272"/>
        <v>0</v>
      </c>
      <c r="M725" s="95" t="str">
        <f t="shared" si="273"/>
        <v>0</v>
      </c>
      <c r="N725" s="95" t="str">
        <f t="shared" si="274"/>
        <v>0</v>
      </c>
      <c r="O725" s="95" t="str">
        <f t="shared" si="275"/>
        <v>0</v>
      </c>
      <c r="P725" s="95" t="str">
        <f t="shared" si="276"/>
        <v>0</v>
      </c>
      <c r="Q725" s="95">
        <f>IF(AND(G725=T$21,LEN(G725)&gt;1),1,0)</f>
        <v>0</v>
      </c>
      <c r="R725" s="97">
        <f>Doubles!G$21</f>
        <v>20</v>
      </c>
      <c r="S725" s="95">
        <f>IF(AND(H725=H$21,LEN(H725)&gt;1,Q725=1),1,0)</f>
        <v>0</v>
      </c>
      <c r="V725" s="97">
        <f>VLOOKUP(20,R706:S729,2,0)</f>
        <v>0</v>
      </c>
      <c r="W725" s="95" t="str">
        <f t="shared" si="277"/>
        <v/>
      </c>
      <c r="X725" s="95">
        <f>IF(F$21=0,IF(AND(G699=G751,NOT(G673=G699),NOT(G725=G751),LEN(W673)&gt;0),2,IF(LEN(W673)=0,0,1)),0)</f>
        <v>0</v>
      </c>
      <c r="AC725" s="95" t="str">
        <f>IF(AND(LEN(W725)&gt;0,F$21=0),IF(X725=2,W725&amp;" +2, ",W725&amp;", "),"")</f>
        <v/>
      </c>
    </row>
    <row r="726" spans="1:29">
      <c r="A726" s="95">
        <v>21</v>
      </c>
      <c r="B726" s="95">
        <f>IF(Doubles!K111="",0,Doubles!K111)</f>
        <v>0</v>
      </c>
      <c r="C726" s="99" t="str">
        <f>IF(OR(LEFT(B726,LEN(B$22))=B$22,LEFT(B726,LEN(C$22))=C$22,LEN(B726)&lt;2),"",IF(B726="no pick","","Wrong pick"))</f>
        <v/>
      </c>
      <c r="D726" s="95">
        <f t="shared" si="268"/>
        <v>0</v>
      </c>
      <c r="E726" s="95">
        <f t="shared" si="269"/>
        <v>0</v>
      </c>
      <c r="G726" s="95" t="str">
        <f>IF(B726=0,"",IF(B726="no pick","No Pick",IF(LEFT(B726,LEN(B$22))=B$22,B$22,C$22)))</f>
        <v/>
      </c>
      <c r="H726" s="95" t="str">
        <f t="shared" si="270"/>
        <v>0-0</v>
      </c>
      <c r="I726" s="95" t="str">
        <f>IF(AND(J726=$I$2,F$22=0,NOT(E$22="")),IF(OR(AND(Y726=AA726,Z726=AB726),AND(Y726=AB726,Z726=AA726)),"",IF(AND(Y726=Z726,AA726=AB726),Y726&amp;" +2 v. "&amp;AA726&amp;" +2, ",IF(Y726=AA726,Z726&amp;" v. "&amp;AB726&amp;", ",IF(Z726=AB726,Y726&amp;" v. "&amp;AA726&amp;", ",IF(Y726=AB726,Z726&amp;" v. "&amp;AA726&amp;", ",IF(Z726=AA726,Y726&amp;" v. "&amp;AB726&amp;", ",Y726&amp;" v. "&amp;AA726&amp;", "&amp;Z726&amp;" v. "&amp;AB726&amp;", ")))))),"")</f>
        <v/>
      </c>
      <c r="J726" s="95">
        <f>D$22</f>
        <v>0</v>
      </c>
      <c r="K726" s="95" t="str">
        <f t="shared" si="271"/>
        <v>SR</v>
      </c>
      <c r="L726" s="95" t="str">
        <f t="shared" si="272"/>
        <v>0</v>
      </c>
      <c r="M726" s="95" t="str">
        <f t="shared" si="273"/>
        <v>0</v>
      </c>
      <c r="N726" s="95" t="str">
        <f t="shared" si="274"/>
        <v>0</v>
      </c>
      <c r="O726" s="95" t="str">
        <f t="shared" si="275"/>
        <v>0</v>
      </c>
      <c r="P726" s="95" t="str">
        <f t="shared" si="276"/>
        <v>0</v>
      </c>
      <c r="Q726" s="95">
        <f>IF(AND(G726=T$22,LEN(G726)&gt;1),1,0)</f>
        <v>0</v>
      </c>
      <c r="R726" s="97">
        <f>Doubles!G$22</f>
        <v>21</v>
      </c>
      <c r="S726" s="95">
        <f>IF(AND(H726=H$22,LEN(H726)&gt;1,Q726=1),1,0)</f>
        <v>0</v>
      </c>
      <c r="V726" s="97">
        <f>VLOOKUP(21,R706:S729,2,0)</f>
        <v>0</v>
      </c>
      <c r="W726" s="95" t="str">
        <f t="shared" si="277"/>
        <v/>
      </c>
      <c r="X726" s="95">
        <f>IF(F$22=0,IF(AND(G700=G752,NOT(G674=G700),NOT(G726=G752),LEN(W674)&gt;0),2,IF(LEN(W674)=0,0,1)),0)</f>
        <v>0</v>
      </c>
      <c r="AC726" s="95" t="str">
        <f>IF(AND(LEN(W726)&gt;0,F$22=0),IF(X726=2,W726&amp;" +2, ",W726&amp;", "),"")</f>
        <v/>
      </c>
    </row>
    <row r="727" spans="1:29">
      <c r="A727" s="95">
        <v>22</v>
      </c>
      <c r="B727" s="95">
        <f>IF(Doubles!K112="",0,Doubles!K112)</f>
        <v>0</v>
      </c>
      <c r="C727" s="99" t="str">
        <f>IF(OR(LEFT(B727,LEN(B$23))=B$23,LEFT(B727,LEN(C$23))=C$23,LEN(B727)&lt;2),"",IF(B727="no pick","","Wrong pick"))</f>
        <v/>
      </c>
      <c r="D727" s="95">
        <f t="shared" si="268"/>
        <v>0</v>
      </c>
      <c r="E727" s="95">
        <f t="shared" si="269"/>
        <v>0</v>
      </c>
      <c r="G727" s="95" t="str">
        <f>IF(B727=0,"",IF(B727="no pick","No Pick",IF(LEFT(B727,LEN(B$23))=B$23,B$23,C$23)))</f>
        <v/>
      </c>
      <c r="H727" s="95" t="str">
        <f t="shared" si="270"/>
        <v>0-0</v>
      </c>
      <c r="I727" s="95" t="str">
        <f>IF(AND(J727=$I$2,F$23=0,NOT(E$23="")),IF(OR(AND(Y727=AA727,Z727=AB727),AND(Y727=AB727,Z727=AA727)),"",IF(AND(Y727=Z727,AA727=AB727),Y727&amp;" +2 v. "&amp;AA727&amp;" +2, ",IF(Y727=AA727,Z727&amp;" v. "&amp;AB727&amp;", ",IF(Z727=AB727,Y727&amp;" v. "&amp;AA727&amp;", ",IF(Y727=AB727,Z727&amp;" v. "&amp;AA727&amp;", ",IF(Z727=AA727,Y727&amp;" v. "&amp;AB727&amp;", ",Y727&amp;" v. "&amp;AA727&amp;", "&amp;Z727&amp;" v. "&amp;AB727&amp;", ")))))),"")</f>
        <v/>
      </c>
      <c r="J727" s="95">
        <f>D$23</f>
        <v>0</v>
      </c>
      <c r="K727" s="95" t="str">
        <f t="shared" si="271"/>
        <v>SR</v>
      </c>
      <c r="L727" s="95" t="str">
        <f t="shared" si="272"/>
        <v>0</v>
      </c>
      <c r="M727" s="95" t="str">
        <f t="shared" si="273"/>
        <v>0</v>
      </c>
      <c r="N727" s="95" t="str">
        <f t="shared" si="274"/>
        <v>0</v>
      </c>
      <c r="O727" s="95" t="str">
        <f t="shared" si="275"/>
        <v>0</v>
      </c>
      <c r="P727" s="95" t="str">
        <f t="shared" si="276"/>
        <v>0</v>
      </c>
      <c r="Q727" s="95">
        <f>IF(AND(G727=T$23,LEN(G727)&gt;1),1,0)</f>
        <v>0</v>
      </c>
      <c r="R727" s="97">
        <f>Doubles!G$23</f>
        <v>22</v>
      </c>
      <c r="S727" s="95">
        <f>IF(AND(H727=H$23,LEN(H727)&gt;1,Q727=1),1,0)</f>
        <v>0</v>
      </c>
      <c r="V727" s="97">
        <f>VLOOKUP(22,R706:S729,2,0)</f>
        <v>0</v>
      </c>
      <c r="W727" s="95" t="str">
        <f t="shared" si="277"/>
        <v/>
      </c>
      <c r="X727" s="95">
        <f>IF(F$23=0,IF(AND(G701=G753,NOT(G675=G701),NOT(G727=G753),LEN(W675)&gt;0),2,IF(LEN(W675)=0,0,1)),0)</f>
        <v>0</v>
      </c>
      <c r="AC727" s="95" t="str">
        <f>IF(AND(LEN(W727)&gt;0,F$23=0),IF(X727=2,W727&amp;" +2, ",W727&amp;", "),"")</f>
        <v/>
      </c>
    </row>
    <row r="728" spans="1:29">
      <c r="A728" s="95">
        <v>23</v>
      </c>
      <c r="B728" s="95">
        <f>IF(Doubles!K113="",0,Doubles!K113)</f>
        <v>0</v>
      </c>
      <c r="C728" s="99" t="str">
        <f>IF(OR(LEFT(B728,LEN(B$24))=B$24,LEFT(B728,LEN(C$24))=C$24,LEN(B728)&lt;2),"",IF(B728="no pick","","Wrong pick"))</f>
        <v/>
      </c>
      <c r="D728" s="95">
        <f t="shared" si="268"/>
        <v>0</v>
      </c>
      <c r="E728" s="95">
        <f t="shared" si="269"/>
        <v>0</v>
      </c>
      <c r="G728" s="95" t="str">
        <f>IF(B728=0,"",IF(B728="no pick","No Pick",IF(LEFT(B728,LEN(B$24))=B$24,B$24,C$24)))</f>
        <v/>
      </c>
      <c r="H728" s="95" t="str">
        <f t="shared" si="270"/>
        <v>0-0</v>
      </c>
      <c r="I728" s="95" t="str">
        <f>IF(AND(J728=$I$2,F$24=0,NOT(E$24="")),IF(OR(AND(Y728=AA728,Z728=AB728),AND(Y728=AB728,Z728=AA728)),"",IF(AND(Y728=Z728,AA728=AB728),Y728&amp;" +2 v. "&amp;AA728&amp;" +2, ",IF(Y728=AA728,Z728&amp;" v. "&amp;AB728&amp;", ",IF(Z728=AB728,Y728&amp;" v. "&amp;AA728&amp;", ",IF(Y728=AB728,Z728&amp;" v. "&amp;AA728&amp;", ",IF(Z728=AA728,Y728&amp;" v. "&amp;AB728&amp;", ",Y728&amp;" v. "&amp;AA728&amp;", "&amp;Z728&amp;" v. "&amp;AB728&amp;", ")))))),"")</f>
        <v/>
      </c>
      <c r="J728" s="95">
        <f>D$24</f>
        <v>0</v>
      </c>
      <c r="K728" s="95" t="str">
        <f t="shared" si="271"/>
        <v>SR</v>
      </c>
      <c r="L728" s="95" t="str">
        <f t="shared" si="272"/>
        <v>0</v>
      </c>
      <c r="M728" s="95" t="str">
        <f t="shared" si="273"/>
        <v>0</v>
      </c>
      <c r="N728" s="95" t="str">
        <f t="shared" si="274"/>
        <v>0</v>
      </c>
      <c r="O728" s="95" t="str">
        <f t="shared" si="275"/>
        <v>0</v>
      </c>
      <c r="P728" s="95" t="str">
        <f t="shared" si="276"/>
        <v>0</v>
      </c>
      <c r="Q728" s="95">
        <f>IF(AND(G728=T$24,LEN(G728)&gt;1),1,0)</f>
        <v>0</v>
      </c>
      <c r="R728" s="97">
        <f>Doubles!G$24</f>
        <v>23</v>
      </c>
      <c r="S728" s="95">
        <f>IF(AND(H728=H$24,LEN(H728)&gt;1,Q728=1),1,0)</f>
        <v>0</v>
      </c>
      <c r="V728" s="97">
        <f>VLOOKUP(23,R706:S729,2,0)</f>
        <v>0</v>
      </c>
      <c r="W728" s="95" t="str">
        <f t="shared" si="277"/>
        <v/>
      </c>
      <c r="X728" s="95">
        <f>IF(F$24=0,IF(AND(G702=G754,NOT(G676=G702),NOT(G728=G754),LEN(W676)&gt;0),2,IF(LEN(W676)=0,0,1)),0)</f>
        <v>0</v>
      </c>
      <c r="AC728" s="95" t="str">
        <f>IF(AND(LEN(W728)&gt;0,F$24=0),IF(X728=2,W728&amp;" +2, ",W728&amp;", "),"")</f>
        <v/>
      </c>
    </row>
    <row r="729" spans="1:29">
      <c r="A729" s="95">
        <v>24</v>
      </c>
      <c r="B729" s="95">
        <f>IF(Doubles!K114="",0,Doubles!K114)</f>
        <v>0</v>
      </c>
      <c r="C729" s="99" t="str">
        <f>IF(OR(LEFT(B729,LEN(B$25))=B$25,LEFT(B729,LEN(C$25))=C$25,LEN(B729)&lt;2),"",IF(B729="no pick","","Wrong pick"))</f>
        <v/>
      </c>
      <c r="D729" s="95">
        <f t="shared" si="268"/>
        <v>0</v>
      </c>
      <c r="E729" s="95">
        <f t="shared" si="269"/>
        <v>0</v>
      </c>
      <c r="G729" s="95" t="str">
        <f>IF(B729=0,"",IF(B729="no pick","No Pick",IF(LEFT(B729,LEN(B$25))=B$25,B$25,C$25)))</f>
        <v/>
      </c>
      <c r="H729" s="95" t="str">
        <f t="shared" si="270"/>
        <v>0-0</v>
      </c>
      <c r="I729" s="95" t="str">
        <f>IF(AND(J729=$I$2,F$25=0,NOT(E$25="")),IF(OR(AND(Y729=AA729,Z729=AB729),AND(Y729=AB729,Z729=AA729)),"",IF(AND(Y729=Z729,AA729=AB729),Y729&amp;" +2 v. "&amp;AA729&amp;" +2, ",IF(Y729=AA729,Z729&amp;" v. "&amp;AB729&amp;", ",IF(Z729=AB729,Y729&amp;" v. "&amp;AA729&amp;", ",IF(Y729=AB729,Z729&amp;" v. "&amp;AA729&amp;", ",IF(Z729=AA729,Y729&amp;" v. "&amp;AB729&amp;", ",Y729&amp;" v. "&amp;AA729&amp;", "&amp;Z729&amp;" v. "&amp;AB729&amp;", ")))))),"")</f>
        <v/>
      </c>
      <c r="J729" s="95">
        <f>D$25</f>
        <v>0</v>
      </c>
      <c r="K729" s="95" t="str">
        <f t="shared" si="271"/>
        <v>SR</v>
      </c>
      <c r="L729" s="95" t="str">
        <f t="shared" si="272"/>
        <v>0</v>
      </c>
      <c r="M729" s="95" t="str">
        <f t="shared" si="273"/>
        <v>0</v>
      </c>
      <c r="N729" s="95" t="str">
        <f t="shared" si="274"/>
        <v>0</v>
      </c>
      <c r="O729" s="95" t="str">
        <f t="shared" si="275"/>
        <v>0</v>
      </c>
      <c r="P729" s="95" t="str">
        <f t="shared" si="276"/>
        <v>0</v>
      </c>
      <c r="Q729" s="95">
        <f>IF(AND(G729=T$25,LEN(G729)&gt;1),1,0)</f>
        <v>0</v>
      </c>
      <c r="R729" s="97">
        <f>Doubles!G$25</f>
        <v>24</v>
      </c>
      <c r="S729" s="95">
        <f>IF(AND(H729=H$25,LEN(H729)&gt;1,Q729=1),1,0)</f>
        <v>0</v>
      </c>
      <c r="V729" s="97">
        <f>VLOOKUP(24,R706:S729,2,0)</f>
        <v>0</v>
      </c>
      <c r="W729" s="95" t="str">
        <f t="shared" si="277"/>
        <v/>
      </c>
      <c r="X729" s="95">
        <f>IF(F$25=0,IF(AND(G703=G755,NOT(G677=G703),NOT(G729=G755),LEN(W677)&gt;0),2,IF(LEN(W677)=0,0,1)),0)</f>
        <v>0</v>
      </c>
      <c r="AC729" s="95" t="str">
        <f>IF(AND(LEN(W729)&gt;0,F$25=0),IF(X729=2,W729&amp;" +2, ",W729&amp;", "),"")</f>
        <v/>
      </c>
    </row>
    <row r="731" spans="1:29">
      <c r="A731" s="95" t="e">
        <f>IF(LEN(VLOOKUP(B731,Doubles!$B$2:$D$17,3,0))&gt;0,VLOOKUP(B731,Doubles!$B$2:$D$17,3,0),"")</f>
        <v>#N/A</v>
      </c>
      <c r="B731" s="96">
        <f>Doubles!M90</f>
        <v>0</v>
      </c>
      <c r="C731" s="96">
        <v>4</v>
      </c>
      <c r="D731" s="95" t="e">
        <f>VLOOKUP(B731,Doubles!$B$2:$F$17,5,0)</f>
        <v>#N/A</v>
      </c>
      <c r="J731" s="95" t="s">
        <v>88</v>
      </c>
      <c r="Q731" s="95" t="s">
        <v>121</v>
      </c>
      <c r="S731" s="95" t="s">
        <v>122</v>
      </c>
      <c r="T731" s="95">
        <f>B731</f>
        <v>0</v>
      </c>
      <c r="V731" s="95" t="s">
        <v>122</v>
      </c>
    </row>
    <row r="732" spans="1:29">
      <c r="A732" s="95">
        <v>1</v>
      </c>
      <c r="B732" s="95">
        <f ca="1">IF(Doubles!M91="",0,Doubles!M91)</f>
        <v>0</v>
      </c>
      <c r="C732" s="99" t="str">
        <f ca="1">IF(OR(LEFT(B732,LEN(B$2))=B$2,LEFT(B732,LEN(C$2))=C$2,LEN(B732)&lt;2),"",IF(B732="no pick","","Wrong pick"))</f>
        <v/>
      </c>
      <c r="E732" s="95">
        <f t="shared" ref="E732:E755" ca="1" si="278">IF(AND($I$2=J732,B732=0),1,0)</f>
        <v>1</v>
      </c>
      <c r="F732" s="95" t="str">
        <f ca="1">IF(AND(SUM(E732:E755)=$I$4,NOT(B731="Bye")),"Missing picks from "&amp;B731&amp;" ","")</f>
        <v xml:space="preserve">Missing picks from 0 </v>
      </c>
      <c r="G732" s="95" t="str">
        <f ca="1">IF(B732=0,"",IF(B732="no pick","No Pick",IF(LEFT(B732,LEN(B$2))=B$2,B$2,C$2)))</f>
        <v/>
      </c>
      <c r="H732" s="95" t="str">
        <f t="shared" ref="H732:H755" ca="1" si="279">IF(L732="","",IF(K732="PTS",IF(LEN(O732)&lt;8,"2-0","2-1"),LEFT(O732,1)&amp;"-"&amp;RIGHT(O732,1)))</f>
        <v>0-0</v>
      </c>
      <c r="J732" s="97">
        <f>D$2</f>
        <v>1</v>
      </c>
      <c r="K732" s="95" t="str">
        <f t="shared" ref="K732:K755" ca="1" si="280">IF(LEN(L732)&gt;0,IF(LEN(O732)&lt;4,"SR","PTS"),"")</f>
        <v>SR</v>
      </c>
      <c r="L732" s="95" t="str">
        <f t="shared" ref="L732:L755" ca="1" si="281">TRIM(RIGHT(B732,LEN(B732)-LEN(G732)))</f>
        <v>0</v>
      </c>
      <c r="M732" s="95" t="str">
        <f t="shared" ref="M732:M755" ca="1" si="282">SUBSTITUTE(L732,"-","")</f>
        <v>0</v>
      </c>
      <c r="N732" s="95" t="str">
        <f t="shared" ref="N732:N755" ca="1" si="283">SUBSTITUTE(M732,","," ")</f>
        <v>0</v>
      </c>
      <c r="O732" s="95" t="str">
        <f t="shared" ref="O732:O755" ca="1" si="284">IF(AND(LEN(TRIM(SUBSTITUTE(P732,"/","")))&gt;6,OR(LEFT(TRIM(SUBSTITUTE(P732,"/","")),2)="20",LEFT(TRIM(SUBSTITUTE(P732,"/","")),2)="21")),RIGHT(TRIM(SUBSTITUTE(P732,"/","")),LEN(TRIM(SUBSTITUTE(P732,"/","")))-3),TRIM(SUBSTITUTE(P732,"/","")))</f>
        <v>0</v>
      </c>
      <c r="P732" s="95" t="str">
        <f t="shared" ref="P732:P755" ca="1" si="285">SUBSTITUTE(N732,":","")</f>
        <v>0</v>
      </c>
      <c r="Q732" s="95">
        <f ca="1">IF(AND(G732=T$2,LEN(G732)&gt;1),1,0)</f>
        <v>0</v>
      </c>
      <c r="R732" s="97">
        <f>Doubles!G$2</f>
        <v>1</v>
      </c>
      <c r="S732" s="95">
        <f ca="1">IF(AND(H732=H$2,LEN(H732)&gt;1,Q732=1),1,0)</f>
        <v>0</v>
      </c>
      <c r="V732" s="97">
        <f ca="1">VLOOKUP(1,R732:S755,2,0)</f>
        <v>0</v>
      </c>
      <c r="W732" s="95">
        <v>1</v>
      </c>
    </row>
    <row r="733" spans="1:29">
      <c r="A733" s="95">
        <v>2</v>
      </c>
      <c r="B733" s="95">
        <f ca="1">IF(Doubles!M92="",0,Doubles!M92)</f>
        <v>0</v>
      </c>
      <c r="C733" s="99" t="str">
        <f ca="1">IF(OR(LEFT(B733,LEN(B$3))=B$3,LEFT(B733,LEN(C$3))=C$3,LEN(B733)&lt;2),"",IF(B733="no pick","","Wrong pick"))</f>
        <v/>
      </c>
      <c r="E733" s="95">
        <f t="shared" ca="1" si="278"/>
        <v>1</v>
      </c>
      <c r="G733" s="95" t="str">
        <f ca="1">IF(B733=0,"",IF(B733="no pick","No Pick",IF(LEFT(B733,LEN(B$3))=B$3,B$3,C$3)))</f>
        <v/>
      </c>
      <c r="H733" s="95" t="str">
        <f t="shared" ca="1" si="279"/>
        <v>0-0</v>
      </c>
      <c r="J733" s="97">
        <f>D$3</f>
        <v>1</v>
      </c>
      <c r="K733" s="95" t="str">
        <f t="shared" ca="1" si="280"/>
        <v>SR</v>
      </c>
      <c r="L733" s="95" t="str">
        <f t="shared" ca="1" si="281"/>
        <v>0</v>
      </c>
      <c r="M733" s="95" t="str">
        <f t="shared" ca="1" si="282"/>
        <v>0</v>
      </c>
      <c r="N733" s="95" t="str">
        <f t="shared" ca="1" si="283"/>
        <v>0</v>
      </c>
      <c r="O733" s="95" t="str">
        <f t="shared" ca="1" si="284"/>
        <v>0</v>
      </c>
      <c r="P733" s="95" t="str">
        <f t="shared" ca="1" si="285"/>
        <v>0</v>
      </c>
      <c r="Q733" s="95">
        <f ca="1">IF(AND(G733=T$3,LEN(G733)&gt;1),1,0)</f>
        <v>0</v>
      </c>
      <c r="R733" s="97">
        <f>Doubles!G$3</f>
        <v>2</v>
      </c>
      <c r="S733" s="95">
        <f ca="1">IF(AND(H733=H$3,LEN(H733)&gt;1,Q733=1),1,0)</f>
        <v>0</v>
      </c>
      <c r="V733" s="97">
        <f ca="1">VLOOKUP(2,R732:S755,2,0)</f>
        <v>0</v>
      </c>
      <c r="W733" s="95">
        <v>2</v>
      </c>
    </row>
    <row r="734" spans="1:29">
      <c r="A734" s="95">
        <v>3</v>
      </c>
      <c r="B734" s="95">
        <f ca="1">IF(Doubles!M93="",0,Doubles!M93)</f>
        <v>0</v>
      </c>
      <c r="C734" s="99" t="str">
        <f ca="1">IF(OR(LEFT(B734,LEN(B$4))=B$4,LEFT(B734,LEN(C$4))=C$4,LEN(B734)&lt;2),"",IF(B734="no pick","","Wrong pick"))</f>
        <v/>
      </c>
      <c r="E734" s="95">
        <f t="shared" ca="1" si="278"/>
        <v>1</v>
      </c>
      <c r="G734" s="95" t="str">
        <f ca="1">IF(B734=0,"",IF(B734="no pick","No Pick",IF(LEFT(B734,LEN(B$4))=B$4,B$4,C$4)))</f>
        <v/>
      </c>
      <c r="H734" s="95" t="str">
        <f t="shared" ca="1" si="279"/>
        <v>0-0</v>
      </c>
      <c r="J734" s="97">
        <f>D$4</f>
        <v>1</v>
      </c>
      <c r="K734" s="95" t="str">
        <f t="shared" ca="1" si="280"/>
        <v>SR</v>
      </c>
      <c r="L734" s="95" t="str">
        <f t="shared" ca="1" si="281"/>
        <v>0</v>
      </c>
      <c r="M734" s="95" t="str">
        <f t="shared" ca="1" si="282"/>
        <v>0</v>
      </c>
      <c r="N734" s="95" t="str">
        <f t="shared" ca="1" si="283"/>
        <v>0</v>
      </c>
      <c r="O734" s="95" t="str">
        <f t="shared" ca="1" si="284"/>
        <v>0</v>
      </c>
      <c r="P734" s="95" t="str">
        <f t="shared" ca="1" si="285"/>
        <v>0</v>
      </c>
      <c r="Q734" s="95">
        <f ca="1">IF(AND(G734=T$4,LEN(G734)&gt;1),1,0)</f>
        <v>0</v>
      </c>
      <c r="R734" s="97">
        <f>Doubles!G$4</f>
        <v>3</v>
      </c>
      <c r="S734" s="95">
        <f ca="1">IF(AND(H734=H$4,LEN(H734)&gt;1,Q734=1),1,0)</f>
        <v>0</v>
      </c>
      <c r="V734" s="97">
        <f ca="1">VLOOKUP(3,R732:S755,2,0)</f>
        <v>0</v>
      </c>
      <c r="W734" s="95">
        <v>3</v>
      </c>
    </row>
    <row r="735" spans="1:29">
      <c r="A735" s="95">
        <v>4</v>
      </c>
      <c r="B735" s="95">
        <f ca="1">IF(Doubles!M94="",0,Doubles!M94)</f>
        <v>0</v>
      </c>
      <c r="C735" s="99" t="str">
        <f ca="1">IF(OR(LEFT(B735,LEN(B$5))=B$5,LEFT(B735,LEN(C$5))=C$5,LEN(B735)&lt;2),"",IF(B735="no pick","","Wrong pick"))</f>
        <v/>
      </c>
      <c r="E735" s="95">
        <f t="shared" ca="1" si="278"/>
        <v>1</v>
      </c>
      <c r="G735" s="95" t="str">
        <f ca="1">IF(B735=0,"",IF(B735="no pick","No Pick",IF(LEFT(B735,LEN(B$5))=B$5,B$5,C$5)))</f>
        <v/>
      </c>
      <c r="H735" s="95" t="str">
        <f t="shared" ca="1" si="279"/>
        <v>0-0</v>
      </c>
      <c r="J735" s="97">
        <f>D$5</f>
        <v>1</v>
      </c>
      <c r="K735" s="95" t="str">
        <f t="shared" ca="1" si="280"/>
        <v>SR</v>
      </c>
      <c r="L735" s="95" t="str">
        <f t="shared" ca="1" si="281"/>
        <v>0</v>
      </c>
      <c r="M735" s="95" t="str">
        <f t="shared" ca="1" si="282"/>
        <v>0</v>
      </c>
      <c r="N735" s="95" t="str">
        <f t="shared" ca="1" si="283"/>
        <v>0</v>
      </c>
      <c r="O735" s="95" t="str">
        <f t="shared" ca="1" si="284"/>
        <v>0</v>
      </c>
      <c r="P735" s="95" t="str">
        <f t="shared" ca="1" si="285"/>
        <v>0</v>
      </c>
      <c r="Q735" s="95">
        <f ca="1">IF(AND(G735=T$5,LEN(G735)&gt;1),1,0)</f>
        <v>0</v>
      </c>
      <c r="R735" s="97">
        <f>Doubles!G$5</f>
        <v>4</v>
      </c>
      <c r="S735" s="95">
        <f ca="1">IF(AND(H735=H$5,LEN(H735)&gt;1,Q735=1),1,0)</f>
        <v>0</v>
      </c>
      <c r="V735" s="97">
        <f ca="1">VLOOKUP(4,R732:S755,2,0)</f>
        <v>0</v>
      </c>
      <c r="W735" s="95">
        <v>4</v>
      </c>
    </row>
    <row r="736" spans="1:29">
      <c r="A736" s="95">
        <v>5</v>
      </c>
      <c r="B736" s="95">
        <f ca="1">IF(Doubles!M95="",0,Doubles!M95)</f>
        <v>0</v>
      </c>
      <c r="C736" s="99" t="str">
        <f ca="1">IF(OR(LEFT(B736,LEN(B$6))=B$6,LEFT(B736,LEN(C$6))=C$6,LEN(B736)&lt;2),"",IF(B736="no pick","","Wrong pick"))</f>
        <v/>
      </c>
      <c r="E736" s="95">
        <f t="shared" ca="1" si="278"/>
        <v>1</v>
      </c>
      <c r="G736" s="95" t="str">
        <f ca="1">IF(B736=0,"",IF(B736="no pick","No Pick",IF(LEFT(B736,LEN(B$6))=B$6,B$6,C$6)))</f>
        <v/>
      </c>
      <c r="H736" s="95" t="str">
        <f t="shared" ca="1" si="279"/>
        <v>0-0</v>
      </c>
      <c r="J736" s="97">
        <f>D$6</f>
        <v>1</v>
      </c>
      <c r="K736" s="95" t="str">
        <f t="shared" ca="1" si="280"/>
        <v>SR</v>
      </c>
      <c r="L736" s="95" t="str">
        <f t="shared" ca="1" si="281"/>
        <v>0</v>
      </c>
      <c r="M736" s="95" t="str">
        <f t="shared" ca="1" si="282"/>
        <v>0</v>
      </c>
      <c r="N736" s="95" t="str">
        <f t="shared" ca="1" si="283"/>
        <v>0</v>
      </c>
      <c r="O736" s="95" t="str">
        <f t="shared" ca="1" si="284"/>
        <v>0</v>
      </c>
      <c r="P736" s="95" t="str">
        <f t="shared" ca="1" si="285"/>
        <v>0</v>
      </c>
      <c r="Q736" s="95">
        <f ca="1">IF(AND(G736=T$6,LEN(G736)&gt;1),1,0)</f>
        <v>0</v>
      </c>
      <c r="R736" s="97">
        <f>Doubles!G$6</f>
        <v>5</v>
      </c>
      <c r="S736" s="95">
        <f ca="1">IF(AND(H736=H$6,LEN(H736)&gt;1,Q736=1),1,0)</f>
        <v>0</v>
      </c>
      <c r="V736" s="97">
        <f ca="1">VLOOKUP(5,R732:S755,2,0)</f>
        <v>0</v>
      </c>
      <c r="W736" s="95">
        <v>5</v>
      </c>
    </row>
    <row r="737" spans="1:23">
      <c r="A737" s="95">
        <v>6</v>
      </c>
      <c r="B737" s="95">
        <f ca="1">IF(Doubles!M96="",0,Doubles!M96)</f>
        <v>0</v>
      </c>
      <c r="C737" s="99" t="str">
        <f ca="1">IF(OR(LEFT(B737,LEN(B$7))=B$7,LEFT(B737,LEN(C$7))=C$7,LEN(B737)&lt;2),"",IF(B737="no pick","","Wrong pick"))</f>
        <v/>
      </c>
      <c r="E737" s="95">
        <f t="shared" ca="1" si="278"/>
        <v>1</v>
      </c>
      <c r="G737" s="95" t="str">
        <f ca="1">IF(B737=0,"",IF(B737="no pick","No Pick",IF(LEFT(B737,LEN(B$7))=B$7,B$7,C$7)))</f>
        <v/>
      </c>
      <c r="H737" s="95" t="str">
        <f t="shared" ca="1" si="279"/>
        <v>0-0</v>
      </c>
      <c r="J737" s="97">
        <f>D$7</f>
        <v>1</v>
      </c>
      <c r="K737" s="95" t="str">
        <f t="shared" ca="1" si="280"/>
        <v>SR</v>
      </c>
      <c r="L737" s="95" t="str">
        <f t="shared" ca="1" si="281"/>
        <v>0</v>
      </c>
      <c r="M737" s="95" t="str">
        <f t="shared" ca="1" si="282"/>
        <v>0</v>
      </c>
      <c r="N737" s="95" t="str">
        <f t="shared" ca="1" si="283"/>
        <v>0</v>
      </c>
      <c r="O737" s="95" t="str">
        <f t="shared" ca="1" si="284"/>
        <v>0</v>
      </c>
      <c r="P737" s="95" t="str">
        <f t="shared" ca="1" si="285"/>
        <v>0</v>
      </c>
      <c r="Q737" s="95">
        <f ca="1">IF(AND(G737=T$7,LEN(G737)&gt;1),1,0)</f>
        <v>0</v>
      </c>
      <c r="R737" s="97">
        <f>Doubles!G$7</f>
        <v>6</v>
      </c>
      <c r="S737" s="95">
        <f ca="1">IF(AND(H737=H$7,LEN(H737)&gt;1,Q737=1),1,0)</f>
        <v>0</v>
      </c>
      <c r="V737" s="97">
        <f ca="1">VLOOKUP(6,R732:S755,2,0)</f>
        <v>0</v>
      </c>
      <c r="W737" s="95">
        <v>6</v>
      </c>
    </row>
    <row r="738" spans="1:23">
      <c r="A738" s="95">
        <v>7</v>
      </c>
      <c r="B738" s="95">
        <f ca="1">IF(Doubles!M97="",0,Doubles!M97)</f>
        <v>0</v>
      </c>
      <c r="C738" s="99" t="str">
        <f ca="1">IF(OR(LEFT(B738,LEN(B$8))=B$8,LEFT(B738,LEN(C$8))=C$8,LEN(B738)&lt;2),"",IF(B738="no pick","","Wrong pick"))</f>
        <v/>
      </c>
      <c r="E738" s="95">
        <f t="shared" ca="1" si="278"/>
        <v>1</v>
      </c>
      <c r="G738" s="95" t="str">
        <f ca="1">IF(B738=0,"",IF(B738="no pick","No Pick",IF(LEFT(B738,LEN(B$8))=B$8,B$8,C$8)))</f>
        <v/>
      </c>
      <c r="H738" s="95" t="str">
        <f t="shared" ca="1" si="279"/>
        <v>0-0</v>
      </c>
      <c r="J738" s="97">
        <f>D$8</f>
        <v>1</v>
      </c>
      <c r="K738" s="95" t="str">
        <f t="shared" ca="1" si="280"/>
        <v>SR</v>
      </c>
      <c r="L738" s="95" t="str">
        <f t="shared" ca="1" si="281"/>
        <v>0</v>
      </c>
      <c r="M738" s="95" t="str">
        <f t="shared" ca="1" si="282"/>
        <v>0</v>
      </c>
      <c r="N738" s="95" t="str">
        <f t="shared" ca="1" si="283"/>
        <v>0</v>
      </c>
      <c r="O738" s="95" t="str">
        <f t="shared" ca="1" si="284"/>
        <v>0</v>
      </c>
      <c r="P738" s="95" t="str">
        <f t="shared" ca="1" si="285"/>
        <v>0</v>
      </c>
      <c r="Q738" s="95">
        <f ca="1">IF(AND(G738=T$8,LEN(G738)&gt;1),1,0)</f>
        <v>0</v>
      </c>
      <c r="R738" s="97">
        <f>Doubles!G$8</f>
        <v>7</v>
      </c>
      <c r="S738" s="95">
        <f ca="1">IF(AND(H738=H$8,LEN(H738)&gt;1,Q738=1),1,0)</f>
        <v>0</v>
      </c>
      <c r="V738" s="97">
        <f ca="1">VLOOKUP(7,R732:S755,2,0)</f>
        <v>0</v>
      </c>
      <c r="W738" s="95">
        <v>7</v>
      </c>
    </row>
    <row r="739" spans="1:23">
      <c r="A739" s="95">
        <v>8</v>
      </c>
      <c r="B739" s="95">
        <f ca="1">IF(Doubles!M98="",0,Doubles!M98)</f>
        <v>0</v>
      </c>
      <c r="C739" s="99" t="str">
        <f ca="1">IF(OR(LEFT(B739,LEN(B$9))=B$9,LEFT(B739,LEN(C$9))=C$9,LEN(B739)&lt;2),"",IF(B739="no pick","","Wrong pick"))</f>
        <v/>
      </c>
      <c r="E739" s="95">
        <f t="shared" ca="1" si="278"/>
        <v>1</v>
      </c>
      <c r="G739" s="95" t="str">
        <f ca="1">IF(B739=0,"",IF(B739="no pick","No Pick",IF(LEFT(B739,LEN(B$9))=B$9,B$9,C$9)))</f>
        <v/>
      </c>
      <c r="H739" s="95" t="str">
        <f t="shared" ca="1" si="279"/>
        <v>0-0</v>
      </c>
      <c r="J739" s="97">
        <f>D$9</f>
        <v>1</v>
      </c>
      <c r="K739" s="95" t="str">
        <f t="shared" ca="1" si="280"/>
        <v>SR</v>
      </c>
      <c r="L739" s="95" t="str">
        <f t="shared" ca="1" si="281"/>
        <v>0</v>
      </c>
      <c r="M739" s="95" t="str">
        <f t="shared" ca="1" si="282"/>
        <v>0</v>
      </c>
      <c r="N739" s="95" t="str">
        <f t="shared" ca="1" si="283"/>
        <v>0</v>
      </c>
      <c r="O739" s="95" t="str">
        <f t="shared" ca="1" si="284"/>
        <v>0</v>
      </c>
      <c r="P739" s="95" t="str">
        <f t="shared" ca="1" si="285"/>
        <v>0</v>
      </c>
      <c r="Q739" s="95">
        <f ca="1">IF(AND(G739=T$9,LEN(G739)&gt;1),1,0)</f>
        <v>0</v>
      </c>
      <c r="R739" s="97">
        <f>Doubles!G$9</f>
        <v>8</v>
      </c>
      <c r="S739" s="95">
        <f ca="1">IF(AND(H739=H$9,LEN(H739)&gt;1,Q739=1),1,0)</f>
        <v>0</v>
      </c>
      <c r="V739" s="97">
        <f ca="1">VLOOKUP(8,R732:S755,2,0)</f>
        <v>0</v>
      </c>
      <c r="W739" s="95">
        <v>8</v>
      </c>
    </row>
    <row r="740" spans="1:23">
      <c r="A740" s="95">
        <v>9</v>
      </c>
      <c r="B740" s="95">
        <f ca="1">IF(Doubles!M99="",0,Doubles!M99)</f>
        <v>0</v>
      </c>
      <c r="C740" s="99" t="str">
        <f ca="1">IF(OR(LEFT(B740,LEN(B$10))=B$10,LEFT(B740,LEN(C$10))=C$10,LEN(B740)&lt;2),"",IF(B740="no pick","","Wrong pick"))</f>
        <v/>
      </c>
      <c r="E740" s="95">
        <f t="shared" ca="1" si="278"/>
        <v>1</v>
      </c>
      <c r="G740" s="95" t="str">
        <f ca="1">IF(B740=0,"",IF(B740="no pick","No Pick",IF(LEFT(B740,LEN(B$10))=B$10,B$10,C$10)))</f>
        <v/>
      </c>
      <c r="H740" s="95" t="str">
        <f t="shared" ca="1" si="279"/>
        <v>0-0</v>
      </c>
      <c r="J740" s="97">
        <f>D$10</f>
        <v>1</v>
      </c>
      <c r="K740" s="95" t="str">
        <f t="shared" ca="1" si="280"/>
        <v>SR</v>
      </c>
      <c r="L740" s="95" t="str">
        <f t="shared" ca="1" si="281"/>
        <v>0</v>
      </c>
      <c r="M740" s="95" t="str">
        <f t="shared" ca="1" si="282"/>
        <v>0</v>
      </c>
      <c r="N740" s="95" t="str">
        <f t="shared" ca="1" si="283"/>
        <v>0</v>
      </c>
      <c r="O740" s="95" t="str">
        <f t="shared" ca="1" si="284"/>
        <v>0</v>
      </c>
      <c r="P740" s="95" t="str">
        <f t="shared" ca="1" si="285"/>
        <v>0</v>
      </c>
      <c r="Q740" s="95">
        <f ca="1">IF(AND(G740=T$10,LEN(G740)&gt;1),1,0)</f>
        <v>0</v>
      </c>
      <c r="R740" s="97">
        <f>Doubles!G$10</f>
        <v>9</v>
      </c>
      <c r="S740" s="95">
        <f ca="1">IF(AND(H740=H$10,LEN(H740)&gt;1,Q740=1),1,0)</f>
        <v>0</v>
      </c>
      <c r="V740" s="97">
        <f ca="1">VLOOKUP(9,R732:S755,2,0)</f>
        <v>0</v>
      </c>
      <c r="W740" s="95">
        <v>9</v>
      </c>
    </row>
    <row r="741" spans="1:23">
      <c r="A741" s="95">
        <v>10</v>
      </c>
      <c r="B741" s="95">
        <f ca="1">IF(Doubles!M100="",0,Doubles!M100)</f>
        <v>0</v>
      </c>
      <c r="C741" s="99" t="str">
        <f ca="1">IF(OR(LEFT(B741,LEN(B$11))=B$11,LEFT(B741,LEN(C$11))=C$11,LEN(B741)&lt;2),"",IF(B741="no pick","","Wrong pick"))</f>
        <v/>
      </c>
      <c r="E741" s="95">
        <f t="shared" ca="1" si="278"/>
        <v>1</v>
      </c>
      <c r="G741" s="95" t="str">
        <f ca="1">IF(B741=0,"",IF(B741="no pick","No Pick",IF(LEFT(B741,LEN(B$11))=B$11,B$11,C$11)))</f>
        <v/>
      </c>
      <c r="H741" s="95" t="str">
        <f t="shared" ca="1" si="279"/>
        <v>0-0</v>
      </c>
      <c r="J741" s="97">
        <f>D$11</f>
        <v>1</v>
      </c>
      <c r="K741" s="95" t="str">
        <f t="shared" ca="1" si="280"/>
        <v>SR</v>
      </c>
      <c r="L741" s="95" t="str">
        <f t="shared" ca="1" si="281"/>
        <v>0</v>
      </c>
      <c r="M741" s="95" t="str">
        <f t="shared" ca="1" si="282"/>
        <v>0</v>
      </c>
      <c r="N741" s="95" t="str">
        <f t="shared" ca="1" si="283"/>
        <v>0</v>
      </c>
      <c r="O741" s="95" t="str">
        <f t="shared" ca="1" si="284"/>
        <v>0</v>
      </c>
      <c r="P741" s="95" t="str">
        <f t="shared" ca="1" si="285"/>
        <v>0</v>
      </c>
      <c r="Q741" s="95">
        <f ca="1">IF(AND(G741=T$11,LEN(G741)&gt;1),1,0)</f>
        <v>0</v>
      </c>
      <c r="R741" s="97">
        <f>Doubles!G$11</f>
        <v>10</v>
      </c>
      <c r="S741" s="95">
        <f ca="1">IF(AND(H741=H$11,LEN(H741)&gt;1,Q741=1),1,0)</f>
        <v>0</v>
      </c>
      <c r="V741" s="97">
        <f ca="1">VLOOKUP(10,R732:S755,2,0)</f>
        <v>0</v>
      </c>
      <c r="W741" s="95">
        <v>10</v>
      </c>
    </row>
    <row r="742" spans="1:23">
      <c r="A742" s="95">
        <v>11</v>
      </c>
      <c r="B742" s="95">
        <f ca="1">IF(Doubles!M101="",0,Doubles!M101)</f>
        <v>0</v>
      </c>
      <c r="C742" s="99" t="str">
        <f ca="1">IF(OR(LEFT(B742,LEN(B$12))=B$12,LEFT(B742,LEN(C$12))=C$12,LEN(B742)&lt;2),"",IF(B742="no pick","","Wrong pick"))</f>
        <v/>
      </c>
      <c r="E742" s="95">
        <f t="shared" ca="1" si="278"/>
        <v>1</v>
      </c>
      <c r="G742" s="95" t="str">
        <f ca="1">IF(B742=0,"",IF(B742="no pick","No Pick",IF(LEFT(B742,LEN(B$12))=B$12,B$12,C$12)))</f>
        <v/>
      </c>
      <c r="H742" s="95" t="str">
        <f t="shared" ca="1" si="279"/>
        <v>0-0</v>
      </c>
      <c r="J742" s="97">
        <f>D$12</f>
        <v>1</v>
      </c>
      <c r="K742" s="95" t="str">
        <f t="shared" ca="1" si="280"/>
        <v>SR</v>
      </c>
      <c r="L742" s="95" t="str">
        <f t="shared" ca="1" si="281"/>
        <v>0</v>
      </c>
      <c r="M742" s="95" t="str">
        <f t="shared" ca="1" si="282"/>
        <v>0</v>
      </c>
      <c r="N742" s="95" t="str">
        <f t="shared" ca="1" si="283"/>
        <v>0</v>
      </c>
      <c r="O742" s="95" t="str">
        <f t="shared" ca="1" si="284"/>
        <v>0</v>
      </c>
      <c r="P742" s="95" t="str">
        <f t="shared" ca="1" si="285"/>
        <v>0</v>
      </c>
      <c r="Q742" s="95">
        <f ca="1">IF(AND(G742=T$12,LEN(G742)&gt;1),1,0)</f>
        <v>0</v>
      </c>
      <c r="R742" s="97">
        <f>Doubles!G$12</f>
        <v>11</v>
      </c>
      <c r="S742" s="95">
        <f ca="1">IF(AND(H742=H$12,LEN(H742)&gt;1,Q742=1),1,0)</f>
        <v>0</v>
      </c>
      <c r="V742" s="97">
        <f ca="1">VLOOKUP(11,R732:S755,2,0)</f>
        <v>0</v>
      </c>
      <c r="W742" s="95">
        <v>11</v>
      </c>
    </row>
    <row r="743" spans="1:23">
      <c r="A743" s="95">
        <v>12</v>
      </c>
      <c r="B743" s="95">
        <f ca="1">IF(Doubles!M102="",0,Doubles!M102)</f>
        <v>0</v>
      </c>
      <c r="C743" s="99" t="str">
        <f ca="1">IF(OR(LEFT(B743,LEN(B$13))=B$13,LEFT(B743,LEN(C$13))=C$13,LEN(B743)&lt;2),"",IF(B743="no pick","","Wrong pick"))</f>
        <v/>
      </c>
      <c r="E743" s="95">
        <f t="shared" ca="1" si="278"/>
        <v>1</v>
      </c>
      <c r="G743" s="95" t="str">
        <f ca="1">IF(B743=0,"",IF(B743="no pick","No Pick",IF(LEFT(B743,LEN(B$13))=B$13,B$13,C$13)))</f>
        <v/>
      </c>
      <c r="H743" s="95" t="str">
        <f t="shared" ca="1" si="279"/>
        <v>0-0</v>
      </c>
      <c r="J743" s="97">
        <f>D$13</f>
        <v>1</v>
      </c>
      <c r="K743" s="95" t="str">
        <f t="shared" ca="1" si="280"/>
        <v>SR</v>
      </c>
      <c r="L743" s="95" t="str">
        <f t="shared" ca="1" si="281"/>
        <v>0</v>
      </c>
      <c r="M743" s="95" t="str">
        <f t="shared" ca="1" si="282"/>
        <v>0</v>
      </c>
      <c r="N743" s="95" t="str">
        <f t="shared" ca="1" si="283"/>
        <v>0</v>
      </c>
      <c r="O743" s="95" t="str">
        <f t="shared" ca="1" si="284"/>
        <v>0</v>
      </c>
      <c r="P743" s="95" t="str">
        <f t="shared" ca="1" si="285"/>
        <v>0</v>
      </c>
      <c r="Q743" s="95">
        <f ca="1">IF(AND(G743=T$13,LEN(G743)&gt;1),1,0)</f>
        <v>0</v>
      </c>
      <c r="R743" s="97">
        <f>Doubles!G$13</f>
        <v>12</v>
      </c>
      <c r="S743" s="95">
        <f ca="1">IF(AND(H743=H$13,LEN(H743)&gt;1,Q743=1),1,0)</f>
        <v>0</v>
      </c>
      <c r="V743" s="97">
        <f ca="1">VLOOKUP(12,R732:S755,2,0)</f>
        <v>0</v>
      </c>
      <c r="W743" s="95">
        <v>12</v>
      </c>
    </row>
    <row r="744" spans="1:23">
      <c r="A744" s="95">
        <v>13</v>
      </c>
      <c r="B744" s="95">
        <f ca="1">IF(Doubles!M103="",0,Doubles!M103)</f>
        <v>0</v>
      </c>
      <c r="C744" s="99" t="str">
        <f ca="1">IF(OR(LEFT(B744,LEN(B$14))=B$14,LEFT(B744,LEN(C$14))=C$14,LEN(B744)&lt;2),"",IF(B744="no pick","","Wrong pick"))</f>
        <v/>
      </c>
      <c r="E744" s="95">
        <f t="shared" ca="1" si="278"/>
        <v>1</v>
      </c>
      <c r="G744" s="95" t="str">
        <f ca="1">IF(B744=0,"",IF(B744="no pick","No Pick",IF(LEFT(B744,LEN(B$14))=B$14,B$14,C$14)))</f>
        <v/>
      </c>
      <c r="H744" s="95" t="str">
        <f t="shared" ca="1" si="279"/>
        <v>0-0</v>
      </c>
      <c r="J744" s="97">
        <f>D$14</f>
        <v>1</v>
      </c>
      <c r="K744" s="95" t="str">
        <f t="shared" ca="1" si="280"/>
        <v>SR</v>
      </c>
      <c r="L744" s="95" t="str">
        <f t="shared" ca="1" si="281"/>
        <v>0</v>
      </c>
      <c r="M744" s="95" t="str">
        <f t="shared" ca="1" si="282"/>
        <v>0</v>
      </c>
      <c r="N744" s="95" t="str">
        <f t="shared" ca="1" si="283"/>
        <v>0</v>
      </c>
      <c r="O744" s="95" t="str">
        <f t="shared" ca="1" si="284"/>
        <v>0</v>
      </c>
      <c r="P744" s="95" t="str">
        <f t="shared" ca="1" si="285"/>
        <v>0</v>
      </c>
      <c r="Q744" s="95">
        <f ca="1">IF(AND(G744=T$14,LEN(G744)&gt;1),1,0)</f>
        <v>0</v>
      </c>
      <c r="R744" s="97">
        <f>Doubles!G$14</f>
        <v>13</v>
      </c>
      <c r="S744" s="95">
        <f ca="1">IF(AND(H744=H$14,LEN(H744)&gt;1,Q744=1),1,0)</f>
        <v>0</v>
      </c>
      <c r="V744" s="97">
        <f ca="1">VLOOKUP(13,R732:S755,2,0)</f>
        <v>0</v>
      </c>
      <c r="W744" s="95">
        <v>13</v>
      </c>
    </row>
    <row r="745" spans="1:23">
      <c r="A745" s="95">
        <v>14</v>
      </c>
      <c r="B745" s="95">
        <f ca="1">IF(Doubles!M104="",0,Doubles!M104)</f>
        <v>0</v>
      </c>
      <c r="C745" s="99" t="str">
        <f ca="1">IF(OR(LEFT(B745,LEN(B$15))=B$15,LEFT(B745,LEN(C$15))=C$15,LEN(B745)&lt;2),"",IF(B745="no pick","","Wrong pick"))</f>
        <v/>
      </c>
      <c r="E745" s="95">
        <f t="shared" ca="1" si="278"/>
        <v>1</v>
      </c>
      <c r="G745" s="95" t="str">
        <f ca="1">IF(B745=0,"",IF(B745="no pick","No Pick",IF(LEFT(B745,LEN(B$15))=B$15,B$15,C$15)))</f>
        <v/>
      </c>
      <c r="H745" s="95" t="str">
        <f t="shared" ca="1" si="279"/>
        <v>0-0</v>
      </c>
      <c r="J745" s="97">
        <f>D$15</f>
        <v>1</v>
      </c>
      <c r="K745" s="95" t="str">
        <f t="shared" ca="1" si="280"/>
        <v>SR</v>
      </c>
      <c r="L745" s="95" t="str">
        <f t="shared" ca="1" si="281"/>
        <v>0</v>
      </c>
      <c r="M745" s="95" t="str">
        <f t="shared" ca="1" si="282"/>
        <v>0</v>
      </c>
      <c r="N745" s="95" t="str">
        <f t="shared" ca="1" si="283"/>
        <v>0</v>
      </c>
      <c r="O745" s="95" t="str">
        <f t="shared" ca="1" si="284"/>
        <v>0</v>
      </c>
      <c r="P745" s="95" t="str">
        <f t="shared" ca="1" si="285"/>
        <v>0</v>
      </c>
      <c r="Q745" s="95">
        <f ca="1">IF(AND(G745=T$15,LEN(G745)&gt;1),1,0)</f>
        <v>0</v>
      </c>
      <c r="R745" s="97">
        <f>Doubles!G$15</f>
        <v>14</v>
      </c>
      <c r="S745" s="95">
        <f ca="1">IF(AND(H745=H$15,LEN(H745)&gt;1,Q745=1),1,0)</f>
        <v>0</v>
      </c>
      <c r="V745" s="97">
        <f ca="1">VLOOKUP(14,R732:S755,2,0)</f>
        <v>0</v>
      </c>
      <c r="W745" s="95">
        <v>14</v>
      </c>
    </row>
    <row r="746" spans="1:23">
      <c r="A746" s="95">
        <v>15</v>
      </c>
      <c r="B746" s="95">
        <f ca="1">IF(Doubles!M105="",0,Doubles!M105)</f>
        <v>0</v>
      </c>
      <c r="C746" s="99" t="str">
        <f ca="1">IF(OR(LEFT(B746,LEN(B$16))=B$16,LEFT(B746,LEN(C$16))=C$16,LEN(B746)&lt;2),"",IF(B746="no pick","","Wrong pick"))</f>
        <v/>
      </c>
      <c r="E746" s="95">
        <f t="shared" ca="1" si="278"/>
        <v>1</v>
      </c>
      <c r="G746" s="95" t="str">
        <f ca="1">IF(B746=0,"",IF(B746="no pick","No Pick",IF(LEFT(B746,LEN(B$16))=B$16,B$16,C$16)))</f>
        <v/>
      </c>
      <c r="H746" s="95" t="str">
        <f t="shared" ca="1" si="279"/>
        <v>0-0</v>
      </c>
      <c r="J746" s="97">
        <f>D$16</f>
        <v>1</v>
      </c>
      <c r="K746" s="95" t="str">
        <f t="shared" ca="1" si="280"/>
        <v>SR</v>
      </c>
      <c r="L746" s="95" t="str">
        <f t="shared" ca="1" si="281"/>
        <v>0</v>
      </c>
      <c r="M746" s="95" t="str">
        <f t="shared" ca="1" si="282"/>
        <v>0</v>
      </c>
      <c r="N746" s="95" t="str">
        <f t="shared" ca="1" si="283"/>
        <v>0</v>
      </c>
      <c r="O746" s="95" t="str">
        <f t="shared" ca="1" si="284"/>
        <v>0</v>
      </c>
      <c r="P746" s="95" t="str">
        <f t="shared" ca="1" si="285"/>
        <v>0</v>
      </c>
      <c r="Q746" s="95">
        <f ca="1">IF(AND(G746=T$16,LEN(G746)&gt;1),1,0)</f>
        <v>0</v>
      </c>
      <c r="R746" s="97">
        <f>Doubles!G$16</f>
        <v>15</v>
      </c>
      <c r="S746" s="95">
        <f ca="1">IF(AND(H746=H$16,LEN(H746)&gt;1,Q746=1),1,0)</f>
        <v>0</v>
      </c>
      <c r="V746" s="97">
        <f ca="1">VLOOKUP(15,R732:S755,2,0)</f>
        <v>0</v>
      </c>
      <c r="W746" s="95">
        <v>15</v>
      </c>
    </row>
    <row r="747" spans="1:23">
      <c r="A747" s="95">
        <v>16</v>
      </c>
      <c r="B747" s="95">
        <f ca="1">IF(Doubles!M106="",0,Doubles!M106)</f>
        <v>0</v>
      </c>
      <c r="C747" s="99" t="str">
        <f ca="1">IF(OR(LEFT(B747,LEN(B$17))=B$17,LEFT(B747,LEN(C$17))=C$17,LEN(B747)&lt;2),"",IF(B747="no pick","","Wrong pick"))</f>
        <v/>
      </c>
      <c r="E747" s="95">
        <f t="shared" ca="1" si="278"/>
        <v>1</v>
      </c>
      <c r="G747" s="95" t="str">
        <f ca="1">IF(B747=0,"",IF(B747="no pick","No Pick",IF(LEFT(B747,LEN(B$17))=B$17,B$17,C$17)))</f>
        <v/>
      </c>
      <c r="H747" s="95" t="str">
        <f t="shared" ca="1" si="279"/>
        <v>0-0</v>
      </c>
      <c r="J747" s="97">
        <f>D$17</f>
        <v>1</v>
      </c>
      <c r="K747" s="95" t="str">
        <f t="shared" ca="1" si="280"/>
        <v>SR</v>
      </c>
      <c r="L747" s="95" t="str">
        <f t="shared" ca="1" si="281"/>
        <v>0</v>
      </c>
      <c r="M747" s="95" t="str">
        <f t="shared" ca="1" si="282"/>
        <v>0</v>
      </c>
      <c r="N747" s="95" t="str">
        <f t="shared" ca="1" si="283"/>
        <v>0</v>
      </c>
      <c r="O747" s="95" t="str">
        <f t="shared" ca="1" si="284"/>
        <v>0</v>
      </c>
      <c r="P747" s="95" t="str">
        <f t="shared" ca="1" si="285"/>
        <v>0</v>
      </c>
      <c r="Q747" s="95">
        <f ca="1">IF(AND(G747=T$17,LEN(G747)&gt;1),1,0)</f>
        <v>0</v>
      </c>
      <c r="R747" s="97">
        <f>Doubles!G$17</f>
        <v>16</v>
      </c>
      <c r="S747" s="95">
        <f ca="1">IF(AND(H747=H$17,LEN(H747)&gt;1,Q747=1),1,0)</f>
        <v>0</v>
      </c>
      <c r="V747" s="97">
        <f ca="1">VLOOKUP(16,R732:S755,2,0)</f>
        <v>0</v>
      </c>
      <c r="W747" s="95">
        <v>16</v>
      </c>
    </row>
    <row r="748" spans="1:23">
      <c r="A748" s="95">
        <v>17</v>
      </c>
      <c r="B748" s="95">
        <f>IF(Doubles!M107="",0,Doubles!M107)</f>
        <v>0</v>
      </c>
      <c r="C748" s="99" t="str">
        <f>IF(OR(LEFT(B748,LEN(B$18))=B$18,LEFT(B748,LEN(C$18))=C$18,LEN(B748)&lt;2),"",IF(B748="no pick","","Wrong pick"))</f>
        <v/>
      </c>
      <c r="E748" s="95">
        <f t="shared" si="278"/>
        <v>0</v>
      </c>
      <c r="G748" s="95" t="str">
        <f>IF(B748=0,"",IF(B748="no pick","No Pick",IF(LEFT(B748,LEN(B$18))=B$18,B$18,C$18)))</f>
        <v/>
      </c>
      <c r="H748" s="95" t="str">
        <f t="shared" si="279"/>
        <v>0-0</v>
      </c>
      <c r="J748" s="95">
        <f>D$18</f>
        <v>0</v>
      </c>
      <c r="K748" s="95" t="str">
        <f t="shared" si="280"/>
        <v>SR</v>
      </c>
      <c r="L748" s="95" t="str">
        <f t="shared" si="281"/>
        <v>0</v>
      </c>
      <c r="M748" s="95" t="str">
        <f t="shared" si="282"/>
        <v>0</v>
      </c>
      <c r="N748" s="95" t="str">
        <f t="shared" si="283"/>
        <v>0</v>
      </c>
      <c r="O748" s="95" t="str">
        <f t="shared" si="284"/>
        <v>0</v>
      </c>
      <c r="P748" s="95" t="str">
        <f t="shared" si="285"/>
        <v>0</v>
      </c>
      <c r="Q748" s="95">
        <f>IF(AND(G748=T$18,LEN(G748)&gt;1),1,0)</f>
        <v>0</v>
      </c>
      <c r="R748" s="97">
        <f>Doubles!G$18</f>
        <v>17</v>
      </c>
      <c r="S748" s="95">
        <f>IF(AND(H748=H$18,LEN(H748)&gt;1,Q748=1),1,0)</f>
        <v>0</v>
      </c>
      <c r="V748" s="97">
        <f>VLOOKUP(17,R732:S755,2,0)</f>
        <v>0</v>
      </c>
      <c r="W748" s="95">
        <v>17</v>
      </c>
    </row>
    <row r="749" spans="1:23">
      <c r="A749" s="95">
        <v>18</v>
      </c>
      <c r="B749" s="95">
        <f>IF(Doubles!M108="",0,Doubles!M108)</f>
        <v>0</v>
      </c>
      <c r="C749" s="99" t="str">
        <f>IF(OR(LEFT(B749,LEN(B$19))=B$19,LEFT(B749,LEN(C$19))=C$19,LEN(B749)&lt;2),"",IF(B749="no pick","","Wrong pick"))</f>
        <v/>
      </c>
      <c r="E749" s="95">
        <f t="shared" si="278"/>
        <v>0</v>
      </c>
      <c r="G749" s="95" t="str">
        <f>IF(B749=0,"",IF(B749="no pick","No Pick",IF(LEFT(B749,LEN(B$19))=B$19,B$19,C$19)))</f>
        <v/>
      </c>
      <c r="H749" s="95" t="str">
        <f t="shared" si="279"/>
        <v>0-0</v>
      </c>
      <c r="J749" s="95">
        <f>D$19</f>
        <v>0</v>
      </c>
      <c r="K749" s="95" t="str">
        <f t="shared" si="280"/>
        <v>SR</v>
      </c>
      <c r="L749" s="95" t="str">
        <f t="shared" si="281"/>
        <v>0</v>
      </c>
      <c r="M749" s="95" t="str">
        <f t="shared" si="282"/>
        <v>0</v>
      </c>
      <c r="N749" s="95" t="str">
        <f t="shared" si="283"/>
        <v>0</v>
      </c>
      <c r="O749" s="95" t="str">
        <f t="shared" si="284"/>
        <v>0</v>
      </c>
      <c r="P749" s="95" t="str">
        <f t="shared" si="285"/>
        <v>0</v>
      </c>
      <c r="Q749" s="95">
        <f>IF(AND(G749=T$19,LEN(G749)&gt;1),1,0)</f>
        <v>0</v>
      </c>
      <c r="R749" s="97">
        <f>Doubles!G$19</f>
        <v>18</v>
      </c>
      <c r="S749" s="95">
        <f>IF(AND(H749=H$19,LEN(H749)&gt;1,Q749=1),1,0)</f>
        <v>0</v>
      </c>
      <c r="V749" s="97">
        <f>VLOOKUP(18,R732:S755,2,0)</f>
        <v>0</v>
      </c>
      <c r="W749" s="95">
        <v>18</v>
      </c>
    </row>
    <row r="750" spans="1:23">
      <c r="A750" s="95">
        <v>19</v>
      </c>
      <c r="B750" s="95">
        <f>IF(Doubles!M109="",0,Doubles!M109)</f>
        <v>0</v>
      </c>
      <c r="C750" s="99" t="str">
        <f>IF(OR(LEFT(B750,LEN(B$20))=B$20,LEFT(B750,LEN(C$20))=C$20,LEN(B750)&lt;2),"",IF(B750="no pick","","Wrong pick"))</f>
        <v/>
      </c>
      <c r="E750" s="95">
        <f t="shared" si="278"/>
        <v>0</v>
      </c>
      <c r="G750" s="95" t="str">
        <f>IF(B750=0,"",IF(B750="no pick","No Pick",IF(LEFT(B750,LEN(B$20))=B$20,B$20,C$20)))</f>
        <v/>
      </c>
      <c r="H750" s="95" t="str">
        <f t="shared" si="279"/>
        <v>0-0</v>
      </c>
      <c r="J750" s="95">
        <f>D$20</f>
        <v>0</v>
      </c>
      <c r="K750" s="95" t="str">
        <f t="shared" si="280"/>
        <v>SR</v>
      </c>
      <c r="L750" s="95" t="str">
        <f t="shared" si="281"/>
        <v>0</v>
      </c>
      <c r="M750" s="95" t="str">
        <f t="shared" si="282"/>
        <v>0</v>
      </c>
      <c r="N750" s="95" t="str">
        <f t="shared" si="283"/>
        <v>0</v>
      </c>
      <c r="O750" s="95" t="str">
        <f t="shared" si="284"/>
        <v>0</v>
      </c>
      <c r="P750" s="95" t="str">
        <f t="shared" si="285"/>
        <v>0</v>
      </c>
      <c r="Q750" s="95">
        <f>IF(AND(G750=T$20,LEN(G750)&gt;1),1,0)</f>
        <v>0</v>
      </c>
      <c r="R750" s="97">
        <f>Doubles!G$20</f>
        <v>19</v>
      </c>
      <c r="S750" s="95">
        <f>IF(AND(H750=H$20,LEN(H750)&gt;1,Q750=1),1,0)</f>
        <v>0</v>
      </c>
      <c r="V750" s="97">
        <f>VLOOKUP(19,R732:S755,2,0)</f>
        <v>0</v>
      </c>
      <c r="W750" s="95">
        <v>19</v>
      </c>
    </row>
    <row r="751" spans="1:23">
      <c r="A751" s="95">
        <v>20</v>
      </c>
      <c r="B751" s="95">
        <f>IF(Doubles!M110="",0,Doubles!M110)</f>
        <v>0</v>
      </c>
      <c r="C751" s="99" t="str">
        <f>IF(OR(LEFT(B751,LEN(B$21))=B$21,LEFT(B751,LEN(C$21))=C$21,LEN(B751)&lt;2),"",IF(B751="no pick","","Wrong pick"))</f>
        <v/>
      </c>
      <c r="E751" s="95">
        <f t="shared" si="278"/>
        <v>0</v>
      </c>
      <c r="G751" s="95" t="str">
        <f>IF(B751=0,"",IF(B751="no pick","No Pick",IF(LEFT(B751,LEN(B$21))=B$21,B$21,C$21)))</f>
        <v/>
      </c>
      <c r="H751" s="95" t="str">
        <f t="shared" si="279"/>
        <v>0-0</v>
      </c>
      <c r="J751" s="95">
        <f>D$21</f>
        <v>0</v>
      </c>
      <c r="K751" s="95" t="str">
        <f t="shared" si="280"/>
        <v>SR</v>
      </c>
      <c r="L751" s="95" t="str">
        <f t="shared" si="281"/>
        <v>0</v>
      </c>
      <c r="M751" s="95" t="str">
        <f t="shared" si="282"/>
        <v>0</v>
      </c>
      <c r="N751" s="95" t="str">
        <f t="shared" si="283"/>
        <v>0</v>
      </c>
      <c r="O751" s="95" t="str">
        <f t="shared" si="284"/>
        <v>0</v>
      </c>
      <c r="P751" s="95" t="str">
        <f t="shared" si="285"/>
        <v>0</v>
      </c>
      <c r="Q751" s="95">
        <f>IF(AND(G751=T$21,LEN(G751)&gt;1),1,0)</f>
        <v>0</v>
      </c>
      <c r="R751" s="97">
        <f>Doubles!G$21</f>
        <v>20</v>
      </c>
      <c r="S751" s="95">
        <f>IF(AND(H751=H$21,LEN(H751)&gt;1,Q751=1),1,0)</f>
        <v>0</v>
      </c>
      <c r="V751" s="97">
        <f>VLOOKUP(20,R732:S755,2,0)</f>
        <v>0</v>
      </c>
      <c r="W751" s="95">
        <v>20</v>
      </c>
    </row>
    <row r="752" spans="1:23">
      <c r="A752" s="95">
        <v>21</v>
      </c>
      <c r="B752" s="95">
        <f>IF(Doubles!M111="",0,Doubles!M111)</f>
        <v>0</v>
      </c>
      <c r="C752" s="99" t="str">
        <f>IF(OR(LEFT(B752,LEN(B$22))=B$22,LEFT(B752,LEN(C$22))=C$22,LEN(B752)&lt;2),"",IF(B752="no pick","","Wrong pick"))</f>
        <v/>
      </c>
      <c r="E752" s="95">
        <f t="shared" si="278"/>
        <v>0</v>
      </c>
      <c r="G752" s="95" t="str">
        <f>IF(B752=0,"",IF(B752="no pick","No Pick",IF(LEFT(B752,LEN(B$22))=B$22,B$22,C$22)))</f>
        <v/>
      </c>
      <c r="H752" s="95" t="str">
        <f t="shared" si="279"/>
        <v>0-0</v>
      </c>
      <c r="J752" s="95">
        <f>D$22</f>
        <v>0</v>
      </c>
      <c r="K752" s="95" t="str">
        <f t="shared" si="280"/>
        <v>SR</v>
      </c>
      <c r="L752" s="95" t="str">
        <f t="shared" si="281"/>
        <v>0</v>
      </c>
      <c r="M752" s="95" t="str">
        <f t="shared" si="282"/>
        <v>0</v>
      </c>
      <c r="N752" s="95" t="str">
        <f t="shared" si="283"/>
        <v>0</v>
      </c>
      <c r="O752" s="95" t="str">
        <f t="shared" si="284"/>
        <v>0</v>
      </c>
      <c r="P752" s="95" t="str">
        <f t="shared" si="285"/>
        <v>0</v>
      </c>
      <c r="Q752" s="95">
        <f>IF(AND(G752=T$22,LEN(G752)&gt;1),1,0)</f>
        <v>0</v>
      </c>
      <c r="R752" s="97">
        <f>Doubles!G$22</f>
        <v>21</v>
      </c>
      <c r="S752" s="95">
        <f>IF(AND(H752=H$22,LEN(H752)&gt;1,Q752=1),1,0)</f>
        <v>0</v>
      </c>
      <c r="V752" s="97">
        <f>VLOOKUP(21,R732:S755,2,0)</f>
        <v>0</v>
      </c>
      <c r="W752" s="95">
        <v>21</v>
      </c>
    </row>
    <row r="753" spans="1:29">
      <c r="A753" s="95">
        <v>22</v>
      </c>
      <c r="B753" s="95">
        <f>IF(Doubles!M112="",0,Doubles!M112)</f>
        <v>0</v>
      </c>
      <c r="C753" s="99" t="str">
        <f>IF(OR(LEFT(B753,LEN(B$23))=B$23,LEFT(B753,LEN(C$23))=C$23,LEN(B753)&lt;2),"",IF(B753="no pick","","Wrong pick"))</f>
        <v/>
      </c>
      <c r="E753" s="95">
        <f t="shared" si="278"/>
        <v>0</v>
      </c>
      <c r="G753" s="95" t="str">
        <f>IF(B753=0,"",IF(B753="no pick","No Pick",IF(LEFT(B753,LEN(B$23))=B$23,B$23,C$23)))</f>
        <v/>
      </c>
      <c r="H753" s="95" t="str">
        <f t="shared" si="279"/>
        <v>0-0</v>
      </c>
      <c r="J753" s="95">
        <f>D$23</f>
        <v>0</v>
      </c>
      <c r="K753" s="95" t="str">
        <f t="shared" si="280"/>
        <v>SR</v>
      </c>
      <c r="L753" s="95" t="str">
        <f t="shared" si="281"/>
        <v>0</v>
      </c>
      <c r="M753" s="95" t="str">
        <f t="shared" si="282"/>
        <v>0</v>
      </c>
      <c r="N753" s="95" t="str">
        <f t="shared" si="283"/>
        <v>0</v>
      </c>
      <c r="O753" s="95" t="str">
        <f t="shared" si="284"/>
        <v>0</v>
      </c>
      <c r="P753" s="95" t="str">
        <f t="shared" si="285"/>
        <v>0</v>
      </c>
      <c r="Q753" s="95">
        <f>IF(AND(G753=T$23,LEN(G753)&gt;1),1,0)</f>
        <v>0</v>
      </c>
      <c r="R753" s="97">
        <f>Doubles!G$23</f>
        <v>22</v>
      </c>
      <c r="S753" s="95">
        <f>IF(AND(H753=H$23,LEN(H753)&gt;1,Q753=1),1,0)</f>
        <v>0</v>
      </c>
      <c r="V753" s="97">
        <f>VLOOKUP(22,R732:S755,2,0)</f>
        <v>0</v>
      </c>
      <c r="W753" s="95">
        <v>22</v>
      </c>
    </row>
    <row r="754" spans="1:29">
      <c r="A754" s="95">
        <v>23</v>
      </c>
      <c r="B754" s="95">
        <f>IF(Doubles!M113="",0,Doubles!M113)</f>
        <v>0</v>
      </c>
      <c r="C754" s="99" t="str">
        <f>IF(OR(LEFT(B754,LEN(B$24))=B$24,LEFT(B754,LEN(C$24))=C$24,LEN(B754)&lt;2),"",IF(B754="no pick","","Wrong pick"))</f>
        <v/>
      </c>
      <c r="E754" s="95">
        <f t="shared" si="278"/>
        <v>0</v>
      </c>
      <c r="G754" s="95" t="str">
        <f>IF(B754=0,"",IF(B754="no pick","No Pick",IF(LEFT(B754,LEN(B$24))=B$24,B$24,C$24)))</f>
        <v/>
      </c>
      <c r="H754" s="95" t="str">
        <f t="shared" si="279"/>
        <v>0-0</v>
      </c>
      <c r="J754" s="95">
        <f>D$24</f>
        <v>0</v>
      </c>
      <c r="K754" s="95" t="str">
        <f t="shared" si="280"/>
        <v>SR</v>
      </c>
      <c r="L754" s="95" t="str">
        <f t="shared" si="281"/>
        <v>0</v>
      </c>
      <c r="M754" s="95" t="str">
        <f t="shared" si="282"/>
        <v>0</v>
      </c>
      <c r="N754" s="95" t="str">
        <f t="shared" si="283"/>
        <v>0</v>
      </c>
      <c r="O754" s="95" t="str">
        <f t="shared" si="284"/>
        <v>0</v>
      </c>
      <c r="P754" s="95" t="str">
        <f t="shared" si="285"/>
        <v>0</v>
      </c>
      <c r="Q754" s="95">
        <f>IF(AND(G754=T$24,LEN(G754)&gt;1),1,0)</f>
        <v>0</v>
      </c>
      <c r="R754" s="97">
        <f>Doubles!G$24</f>
        <v>23</v>
      </c>
      <c r="S754" s="95">
        <f>IF(AND(H754=H$24,LEN(H754)&gt;1,Q754=1),1,0)</f>
        <v>0</v>
      </c>
      <c r="V754" s="97">
        <f>VLOOKUP(23,R732:S755,2,0)</f>
        <v>0</v>
      </c>
      <c r="W754" s="95">
        <v>23</v>
      </c>
    </row>
    <row r="755" spans="1:29">
      <c r="A755" s="95">
        <v>24</v>
      </c>
      <c r="B755" s="95">
        <f>IF(Doubles!M114="",0,Doubles!M114)</f>
        <v>0</v>
      </c>
      <c r="C755" s="99" t="str">
        <f>IF(OR(LEFT(B755,LEN(B$25))=B$25,LEFT(B755,LEN(C$25))=C$25,LEN(B755)&lt;2),"",IF(B755="no pick","","Wrong pick"))</f>
        <v/>
      </c>
      <c r="E755" s="95">
        <f t="shared" si="278"/>
        <v>0</v>
      </c>
      <c r="G755" s="95" t="str">
        <f>IF(B755=0,"",IF(B755="no pick","No Pick",IF(LEFT(B755,LEN(B$25))=B$25,B$25,C$25)))</f>
        <v/>
      </c>
      <c r="H755" s="95" t="str">
        <f t="shared" si="279"/>
        <v>0-0</v>
      </c>
      <c r="J755" s="95">
        <f>D$25</f>
        <v>0</v>
      </c>
      <c r="K755" s="95" t="str">
        <f t="shared" si="280"/>
        <v>SR</v>
      </c>
      <c r="L755" s="95" t="str">
        <f t="shared" si="281"/>
        <v>0</v>
      </c>
      <c r="M755" s="95" t="str">
        <f t="shared" si="282"/>
        <v>0</v>
      </c>
      <c r="N755" s="95" t="str">
        <f t="shared" si="283"/>
        <v>0</v>
      </c>
      <c r="O755" s="95" t="str">
        <f t="shared" si="284"/>
        <v>0</v>
      </c>
      <c r="P755" s="95" t="str">
        <f t="shared" si="285"/>
        <v>0</v>
      </c>
      <c r="Q755" s="95">
        <f>IF(AND(G755=T$25,LEN(G755)&gt;1),1,0)</f>
        <v>0</v>
      </c>
      <c r="R755" s="97">
        <f>Doubles!G$25</f>
        <v>24</v>
      </c>
      <c r="S755" s="95">
        <f>IF(AND(H755=H$25,LEN(H755)&gt;1,Q755=1),1,0)</f>
        <v>0</v>
      </c>
      <c r="V755" s="97">
        <f>VLOOKUP(24,R732:S755,2,0)</f>
        <v>0</v>
      </c>
      <c r="W755" s="95">
        <v>24</v>
      </c>
    </row>
    <row r="756" spans="1:29">
      <c r="A756" s="106"/>
      <c r="B756" s="106"/>
      <c r="C756" s="107"/>
      <c r="D756" s="106"/>
      <c r="E756" s="106"/>
      <c r="Q756" s="106"/>
      <c r="R756" s="106"/>
      <c r="S756" s="106"/>
      <c r="W756" s="95">
        <v>25</v>
      </c>
    </row>
    <row r="757" spans="1:29">
      <c r="A757" s="95" t="e">
        <f>IF(LEN(VLOOKUP(B757,Doubles!$A$2:$D$17,4,0))&gt;0,VLOOKUP(B757,Doubles!$A$2:$D$17,4,0),"")</f>
        <v>#N/A</v>
      </c>
      <c r="B757" s="96">
        <f>Doubles!N90</f>
        <v>0</v>
      </c>
      <c r="C757" s="96">
        <v>1</v>
      </c>
      <c r="D757" s="95" t="e">
        <f>VLOOKUP(B757,Doubles!$A$2:$E$17,5,0)</f>
        <v>#N/A</v>
      </c>
      <c r="E757" s="95" t="s">
        <v>124</v>
      </c>
      <c r="J757" s="95" t="s">
        <v>88</v>
      </c>
      <c r="Q757" s="95" t="s">
        <v>121</v>
      </c>
      <c r="S757" s="95" t="s">
        <v>122</v>
      </c>
      <c r="T757" s="95" t="e">
        <f>IF(LEN(A757)&gt;0,"("&amp;A757&amp;") "&amp;B757,B757)</f>
        <v>#N/A</v>
      </c>
      <c r="V757" s="95" t="s">
        <v>122</v>
      </c>
      <c r="W757" s="95" t="str">
        <f>""</f>
        <v/>
      </c>
    </row>
    <row r="758" spans="1:29">
      <c r="A758" s="95">
        <v>1</v>
      </c>
      <c r="B758" s="95">
        <f ca="1">IF(Doubles!N91="",0,Doubles!N91)</f>
        <v>0</v>
      </c>
      <c r="C758" s="99" t="str">
        <f ca="1">IF(OR(LEFT(B758,LEN(B$2))=B$2,LEFT(B758,LEN(C$2))=C$2,LEN(B758)&lt;2),"",IF(B758="no pick","","Wrong pick"))</f>
        <v/>
      </c>
      <c r="D758" s="95">
        <f t="shared" ref="D758:D781" ca="1" si="286">IF(G758=G784,0,1)</f>
        <v>0</v>
      </c>
      <c r="E758" s="95">
        <f t="shared" ref="E758:E781" ca="1" si="287">IF(AND($I$2=J758,B758=0),1,0)</f>
        <v>1</v>
      </c>
      <c r="F758" s="95" t="str">
        <f ca="1">IF(AND(SUM(E758:E781)=$I$4,NOT(B757="Bye")),"Missing picks from "&amp;B757&amp;" ","")</f>
        <v xml:space="preserve">Missing picks from 0 </v>
      </c>
      <c r="G758" s="95" t="str">
        <f ca="1">IF(B758=0,"",IF(B758="no pick","No Pick",IF(LEFT(B758,LEN(B$2))=B$2,B$2,C$2)))</f>
        <v/>
      </c>
      <c r="H758" s="95" t="str">
        <f t="shared" ref="H758:H781" ca="1" si="288">IF(L758="","",IF(K758="PTS",IF(LEN(O758)&lt;8,"2-0","2-1"),LEFT(O758,1)&amp;"-"&amp;RIGHT(O758,1)))</f>
        <v>0-0</v>
      </c>
      <c r="I758" s="95" t="str">
        <f ca="1">IF(AND(J758=$I$2,F$2=0,NOT(E$2="")),IF(OR(AND(Y758=AA758,Z758=AB758),AND(Y758=AB758,Z758=AA758)),"",IF(AND(Y758=Z758,AA758=AB758),Y758&amp;" +2 v. "&amp;AA758&amp;" +2, ",IF(Y758=AA758,Z758&amp;" v. "&amp;AB758&amp;", ",IF(Z758=AB758,Y758&amp;" v. "&amp;AA758&amp;", ",IF(Y758=AB758,Z758&amp;" v. "&amp;AA758&amp;", ",IF(Z758=AA758,Y758&amp;" v. "&amp;AB758&amp;", ",Y758&amp;" v. "&amp;AA758&amp;", "&amp;Z758&amp;" v. "&amp;AB758&amp;", ")))))),"")</f>
        <v/>
      </c>
      <c r="J758" s="97">
        <f>D$2</f>
        <v>1</v>
      </c>
      <c r="K758" s="95" t="str">
        <f t="shared" ref="K758:K781" ca="1" si="289">IF(LEN(L758)&gt;0,IF(LEN(O758)&lt;4,"SR","PTS"),"")</f>
        <v>SR</v>
      </c>
      <c r="L758" s="95" t="str">
        <f t="shared" ref="L758:L781" ca="1" si="290">TRIM(RIGHT(B758,LEN(B758)-LEN(G758)))</f>
        <v>0</v>
      </c>
      <c r="M758" s="95" t="str">
        <f t="shared" ref="M758:M781" ca="1" si="291">SUBSTITUTE(L758,"-","")</f>
        <v>0</v>
      </c>
      <c r="N758" s="95" t="str">
        <f t="shared" ref="N758:N781" ca="1" si="292">SUBSTITUTE(M758,","," ")</f>
        <v>0</v>
      </c>
      <c r="O758" s="95" t="str">
        <f t="shared" ref="O758:O781" ca="1" si="293">IF(AND(LEN(TRIM(SUBSTITUTE(P758,"/","")))&gt;6,OR(LEFT(TRIM(SUBSTITUTE(P758,"/","")),2)="20",LEFT(TRIM(SUBSTITUTE(P758,"/","")),2)="21")),RIGHT(TRIM(SUBSTITUTE(P758,"/","")),LEN(TRIM(SUBSTITUTE(P758,"/","")))-3),TRIM(SUBSTITUTE(P758,"/","")))</f>
        <v>0</v>
      </c>
      <c r="P758" s="95" t="str">
        <f t="shared" ref="P758:P781" ca="1" si="294">SUBSTITUTE(N758,":","")</f>
        <v>0</v>
      </c>
      <c r="Q758" s="95">
        <f ca="1">IF(AND(G758=T$2,LEN(G758)&gt;1),1,0)</f>
        <v>0</v>
      </c>
      <c r="R758" s="97">
        <f>Doubles!G$2</f>
        <v>1</v>
      </c>
      <c r="S758" s="95">
        <f ca="1">IF(AND(H758=H$2,LEN(H758)&gt;1,Q758=1),1,0)</f>
        <v>0</v>
      </c>
      <c r="T758" s="95" t="str">
        <f ca="1">" SR Differences: "&amp;IF(LEN(I758&amp;I759&amp;I760&amp;I761&amp;I762&amp;I763&amp;I764&amp;I765&amp;I766&amp;I767&amp;I768&amp;I769&amp;I770&amp;I771&amp;I772&amp;I773&amp;I774&amp;I775&amp;I776&amp;I777&amp;I778&amp;I779&amp;I780&amp;I781)&lt;3,"None..",I758&amp;I759&amp;I760&amp;I761&amp;I762&amp;I763&amp;I764&amp;I765&amp;I766&amp;I767&amp;I768&amp;I769&amp;I770&amp;I771&amp;I772&amp;I773&amp;I774&amp;I775&amp;I776&amp;I777&amp;I778&amp;I779&amp;I780&amp;I781)</f>
        <v xml:space="preserve"> SR Differences: None..</v>
      </c>
      <c r="V758" s="97">
        <f ca="1">VLOOKUP(1,R758:S781,2,0)</f>
        <v>0</v>
      </c>
      <c r="W758" s="95" t="str">
        <f t="shared" ref="W758:W781" ca="1" si="295">IF(J758=$I$2,IF(OR(G758&amp;G810=G784&amp;G836,G758&amp;G810=G836&amp;G784),"",IF(G758=G810,G758,IF(OR(G758=G784,G758=G836),G810,IF(OR(G810=G784,G810=G836),G758,G758&amp;", "&amp;G810)))),"")</f>
        <v/>
      </c>
      <c r="X758" s="95">
        <f ca="1">IF(F$2=0,IF(AND(G758=G810,NOT(G758=G784),NOT(G758=G836),LEN(W758)&gt;0),2,IF(LEN(W758)=0,0,1)),0)</f>
        <v>0</v>
      </c>
      <c r="Y758" s="95" t="str">
        <f t="shared" ref="Y758:Y781" ca="1" si="296">G758&amp;" "&amp;H758</f>
        <v xml:space="preserve"> 0-0</v>
      </c>
      <c r="Z758" s="95" t="str">
        <f t="shared" ref="Z758:Z781" ca="1" si="297">G810&amp;" "&amp;H810</f>
        <v xml:space="preserve"> 0-0</v>
      </c>
      <c r="AA758" s="95" t="str">
        <f t="shared" ref="AA758:AA781" ca="1" si="298">G784&amp;" "&amp;H784</f>
        <v xml:space="preserve"> 0-0</v>
      </c>
      <c r="AB758" s="95" t="str">
        <f t="shared" ref="AB758:AB781" ca="1" si="299">G836&amp;" "&amp;H836</f>
        <v xml:space="preserve"> 0-0</v>
      </c>
      <c r="AC758" s="95" t="str">
        <f ca="1">IF(AND(LEN(W758)&gt;0,F$2=0),IF(X758=2,W758&amp;" +2, ",W758&amp;", "),"")</f>
        <v/>
      </c>
    </row>
    <row r="759" spans="1:29">
      <c r="A759" s="95">
        <v>2</v>
      </c>
      <c r="B759" s="95">
        <f ca="1">IF(Doubles!N92="",0,Doubles!N92)</f>
        <v>0</v>
      </c>
      <c r="C759" s="99" t="str">
        <f ca="1">IF(OR(LEFT(B759,LEN(B$3))=B$3,LEFT(B759,LEN(C$3))=C$3,LEN(B759)&lt;2),"",IF(B759="no pick","","Wrong pick"))</f>
        <v/>
      </c>
      <c r="D759" s="95">
        <f t="shared" ca="1" si="286"/>
        <v>0</v>
      </c>
      <c r="E759" s="95">
        <f t="shared" ca="1" si="287"/>
        <v>1</v>
      </c>
      <c r="G759" s="95" t="str">
        <f ca="1">IF(B759=0,"",IF(B759="no pick","No Pick",IF(LEFT(B759,LEN(B$3))=B$3,B$3,C$3)))</f>
        <v/>
      </c>
      <c r="H759" s="95" t="str">
        <f t="shared" ca="1" si="288"/>
        <v>0-0</v>
      </c>
      <c r="I759" s="95" t="str">
        <f ca="1">IF(AND(J759=$I$2,F$3=0,NOT(E$3="")),IF(OR(AND(Y759=AA759,Z759=AB759),AND(Y759=AB759,Z759=AA759)),"",IF(AND(Y759=Z759,AA759=AB759),Y759&amp;" +2 v. "&amp;AA759&amp;" +2, ",IF(Y759=AA759,Z759&amp;" v. "&amp;AB759&amp;", ",IF(Z759=AB759,Y759&amp;" v. "&amp;AA759&amp;", ",IF(Y759=AB759,Z759&amp;" v. "&amp;AA759&amp;", ",IF(Z759=AA759,Y759&amp;" v. "&amp;AB759&amp;", ",Y759&amp;" v. "&amp;AA759&amp;", "&amp;Z759&amp;" v. "&amp;AB759&amp;", ")))))),"")</f>
        <v/>
      </c>
      <c r="J759" s="97">
        <f>D$3</f>
        <v>1</v>
      </c>
      <c r="K759" s="95" t="str">
        <f t="shared" ca="1" si="289"/>
        <v>SR</v>
      </c>
      <c r="L759" s="95" t="str">
        <f t="shared" ca="1" si="290"/>
        <v>0</v>
      </c>
      <c r="M759" s="95" t="str">
        <f t="shared" ca="1" si="291"/>
        <v>0</v>
      </c>
      <c r="N759" s="95" t="str">
        <f t="shared" ca="1" si="292"/>
        <v>0</v>
      </c>
      <c r="O759" s="95" t="str">
        <f t="shared" ca="1" si="293"/>
        <v>0</v>
      </c>
      <c r="P759" s="95" t="str">
        <f t="shared" ca="1" si="294"/>
        <v>0</v>
      </c>
      <c r="Q759" s="95">
        <f ca="1">IF(AND(G759=T$3,LEN(G759)&gt;1),1,0)</f>
        <v>0</v>
      </c>
      <c r="R759" s="97">
        <f>Doubles!G$3</f>
        <v>2</v>
      </c>
      <c r="S759" s="95">
        <f ca="1">IF(AND(H759=H$3,LEN(H759)&gt;1,Q759=1),1,0)</f>
        <v>0</v>
      </c>
      <c r="V759" s="97">
        <f ca="1">VLOOKUP(2,R758:S781,2,0)</f>
        <v>0</v>
      </c>
      <c r="W759" s="95" t="str">
        <f t="shared" ca="1" si="295"/>
        <v/>
      </c>
      <c r="X759" s="95">
        <f ca="1">IF(F$3=0,IF(AND(G759=G811,NOT(G759=G785),NOT(G759=G837),LEN(W759)&gt;0),2,IF(LEN(W759)=0,0,1)),0)</f>
        <v>0</v>
      </c>
      <c r="Y759" s="95" t="str">
        <f t="shared" ca="1" si="296"/>
        <v xml:space="preserve"> 0-0</v>
      </c>
      <c r="Z759" s="95" t="str">
        <f t="shared" ca="1" si="297"/>
        <v xml:space="preserve"> 0-0</v>
      </c>
      <c r="AA759" s="95" t="str">
        <f t="shared" ca="1" si="298"/>
        <v xml:space="preserve"> 0-0</v>
      </c>
      <c r="AB759" s="95" t="str">
        <f t="shared" ca="1" si="299"/>
        <v xml:space="preserve"> 0-0</v>
      </c>
      <c r="AC759" s="95" t="str">
        <f ca="1">IF(AND(LEN(W759)&gt;0,F$3=0),IF(X759=2,W759&amp;" +2, ",W759&amp;", "),"")</f>
        <v/>
      </c>
    </row>
    <row r="760" spans="1:29">
      <c r="A760" s="95">
        <v>3</v>
      </c>
      <c r="B760" s="95">
        <f ca="1">IF(Doubles!N93="",0,Doubles!N93)</f>
        <v>0</v>
      </c>
      <c r="C760" s="99" t="str">
        <f ca="1">IF(OR(LEFT(B760,LEN(B$4))=B$4,LEFT(B760,LEN(C$4))=C$4,LEN(B760)&lt;2),"",IF(B760="no pick","","Wrong pick"))</f>
        <v/>
      </c>
      <c r="D760" s="95">
        <f t="shared" ca="1" si="286"/>
        <v>0</v>
      </c>
      <c r="E760" s="95">
        <f t="shared" ca="1" si="287"/>
        <v>1</v>
      </c>
      <c r="G760" s="95" t="str">
        <f ca="1">IF(B760=0,"",IF(B760="no pick","No Pick",IF(LEFT(B760,LEN(B$4))=B$4,B$4,C$4)))</f>
        <v/>
      </c>
      <c r="H760" s="95" t="str">
        <f t="shared" ca="1" si="288"/>
        <v>0-0</v>
      </c>
      <c r="I760" s="95" t="str">
        <f ca="1">IF(AND(J760=$I$2,F$4=0,NOT(E$4="")),IF(OR(AND(Y760=AA760,Z760=AB760),AND(Y760=AB760,Z760=AA760)),"",IF(AND(Y760=Z760,AA760=AB760),Y760&amp;" +2 v. "&amp;AA760&amp;" +2, ",IF(Y760=AA760,Z760&amp;" v. "&amp;AB760&amp;", ",IF(Z760=AB760,Y760&amp;" v. "&amp;AA760&amp;", ",IF(Y760=AB760,Z760&amp;" v. "&amp;AA760&amp;", ",IF(Z760=AA760,Y760&amp;" v. "&amp;AB760&amp;", ",Y760&amp;" v. "&amp;AA760&amp;", "&amp;Z760&amp;" v. "&amp;AB760&amp;", ")))))),"")</f>
        <v/>
      </c>
      <c r="J760" s="97">
        <f>D$4</f>
        <v>1</v>
      </c>
      <c r="K760" s="95" t="str">
        <f t="shared" ca="1" si="289"/>
        <v>SR</v>
      </c>
      <c r="L760" s="95" t="str">
        <f t="shared" ca="1" si="290"/>
        <v>0</v>
      </c>
      <c r="M760" s="95" t="str">
        <f t="shared" ca="1" si="291"/>
        <v>0</v>
      </c>
      <c r="N760" s="95" t="str">
        <f t="shared" ca="1" si="292"/>
        <v>0</v>
      </c>
      <c r="O760" s="95" t="str">
        <f t="shared" ca="1" si="293"/>
        <v>0</v>
      </c>
      <c r="P760" s="95" t="str">
        <f t="shared" ca="1" si="294"/>
        <v>0</v>
      </c>
      <c r="Q760" s="95">
        <f ca="1">IF(AND(G760=T$4,LEN(G760)&gt;1),1,0)</f>
        <v>0</v>
      </c>
      <c r="R760" s="97">
        <f>Doubles!G$4</f>
        <v>3</v>
      </c>
      <c r="S760" s="95">
        <f ca="1">IF(AND(H760=H$4,LEN(H760)&gt;1,Q760=1),1,0)</f>
        <v>0</v>
      </c>
      <c r="T760" s="101">
        <f ca="1">SUMIF(J758:J781,$I$2,X758:X781)</f>
        <v>0</v>
      </c>
      <c r="V760" s="97">
        <f ca="1">VLOOKUP(3,R758:S781,2,0)</f>
        <v>0</v>
      </c>
      <c r="W760" s="95" t="str">
        <f t="shared" ca="1" si="295"/>
        <v/>
      </c>
      <c r="X760" s="95">
        <f ca="1">IF(F$4=0,IF(AND(G760=G812,NOT(G760=G786),NOT(G760=G838),LEN(W760)&gt;0),2,IF(LEN(W760)=0,0,1)),0)</f>
        <v>0</v>
      </c>
      <c r="Y760" s="95" t="str">
        <f t="shared" ca="1" si="296"/>
        <v xml:space="preserve"> 0-0</v>
      </c>
      <c r="Z760" s="95" t="str">
        <f t="shared" ca="1" si="297"/>
        <v xml:space="preserve"> 0-0</v>
      </c>
      <c r="AA760" s="95" t="str">
        <f t="shared" ca="1" si="298"/>
        <v xml:space="preserve"> 0-0</v>
      </c>
      <c r="AB760" s="95" t="str">
        <f t="shared" ca="1" si="299"/>
        <v xml:space="preserve"> 0-0</v>
      </c>
      <c r="AC760" s="95" t="str">
        <f ca="1">IF(AND(LEN(W760)&gt;0,F$4=0),IF(X760=2,W760&amp;" +2, ",W760&amp;", "),"")</f>
        <v/>
      </c>
    </row>
    <row r="761" spans="1:29">
      <c r="A761" s="95">
        <v>4</v>
      </c>
      <c r="B761" s="95">
        <f ca="1">IF(Doubles!N94="",0,Doubles!N94)</f>
        <v>0</v>
      </c>
      <c r="C761" s="99" t="str">
        <f ca="1">IF(OR(LEFT(B761,LEN(B$5))=B$5,LEFT(B761,LEN(C$5))=C$5,LEN(B761)&lt;2),"",IF(B761="no pick","","Wrong pick"))</f>
        <v/>
      </c>
      <c r="D761" s="95">
        <f t="shared" ca="1" si="286"/>
        <v>0</v>
      </c>
      <c r="E761" s="95">
        <f t="shared" ca="1" si="287"/>
        <v>1</v>
      </c>
      <c r="G761" s="95" t="str">
        <f ca="1">IF(B761=0,"",IF(B761="no pick","No Pick",IF(LEFT(B761,LEN(B$5))=B$5,B$5,C$5)))</f>
        <v/>
      </c>
      <c r="H761" s="95" t="str">
        <f t="shared" ca="1" si="288"/>
        <v>0-0</v>
      </c>
      <c r="I761" s="95" t="str">
        <f ca="1">IF(AND(J761=$I$2,F$5=0,NOT(E$5="")),IF(OR(AND(Y761=AA761,Z761=AB761),AND(Y761=AB761,Z761=AA761)),"",IF(AND(Y761=Z761,AA761=AB761),Y761&amp;" +2 v. "&amp;AA761&amp;" +2, ",IF(Y761=AA761,Z761&amp;" v. "&amp;AB761&amp;", ",IF(Z761=AB761,Y761&amp;" v. "&amp;AA761&amp;", ",IF(Y761=AB761,Z761&amp;" v. "&amp;AA761&amp;", ",IF(Z761=AA761,Y761&amp;" v. "&amp;AB761&amp;", ",Y761&amp;" v. "&amp;AA761&amp;", "&amp;Z761&amp;" v. "&amp;AB761&amp;", ")))))),"")</f>
        <v/>
      </c>
      <c r="J761" s="97">
        <f>D$5</f>
        <v>1</v>
      </c>
      <c r="K761" s="95" t="str">
        <f t="shared" ca="1" si="289"/>
        <v>SR</v>
      </c>
      <c r="L761" s="95" t="str">
        <f t="shared" ca="1" si="290"/>
        <v>0</v>
      </c>
      <c r="M761" s="95" t="str">
        <f t="shared" ca="1" si="291"/>
        <v>0</v>
      </c>
      <c r="N761" s="95" t="str">
        <f t="shared" ca="1" si="292"/>
        <v>0</v>
      </c>
      <c r="O761" s="95" t="str">
        <f t="shared" ca="1" si="293"/>
        <v>0</v>
      </c>
      <c r="P761" s="95" t="str">
        <f t="shared" ca="1" si="294"/>
        <v>0</v>
      </c>
      <c r="Q761" s="95">
        <f ca="1">IF(AND(G761=T$5,LEN(G761)&gt;1),1,0)</f>
        <v>0</v>
      </c>
      <c r="R761" s="97">
        <f>Doubles!G$5</f>
        <v>4</v>
      </c>
      <c r="S761" s="95">
        <f ca="1">IF(AND(H761=H$5,LEN(H761)&gt;1,Q761=1),1,0)</f>
        <v>0</v>
      </c>
      <c r="T761" s="95" t="s">
        <v>113</v>
      </c>
      <c r="U761" s="95" t="e">
        <f ca="1">IF(COUNTIF(C758:C859,"=Wrong Pick")&gt;0,"Incorrect pick, probably a spelling mistake",IF(T767&lt;10,"0","")&amp;T767&amp;":"&amp;IF(T768&lt;10,"0","")&amp;T768&amp;" | [b]"&amp;IF(LEN(U762)&gt;0,U762,T757&amp;"/"&amp;T809&amp;IF(LEN(D757)&gt;1," ("&amp;D757&amp;"/"&amp;D809&amp;")","")&amp;"[/b] vs. [b]"&amp;T783&amp;"/"&amp;T835&amp;IF(LEN(D783)&gt;1," ("&amp;D783&amp;"/"&amp;D835&amp;")","")&amp;"[/b]"&amp;IF(Doubles!$D$21&gt;1," (SR "&amp;U767&amp;":"&amp;U768&amp;")","")&amp;" - "&amp;IF(AND(F758="",F784="",F810="",F836=""),IF(LEN(U813)&gt;1,LEFT(U813,LEN(U813)-2)&amp;" vs. "&amp;LEFT(U814,LEN(U814)-2),IF(SUM(F$2:F$25)=0,"Same Winners; ",""))&amp;IF(AND(OR(AND(Doubles!$D$20&gt;1,Doubles!$D$21&lt;Doubles!$D$20),MOD(T760+T767+T768,2)=0),NOT(Doubles!$D$23="No")),LEFT(T758,LEN(T758)-2),""),F758&amp;F784&amp;F810&amp;F836)))</f>
        <v>#N/A</v>
      </c>
      <c r="V761" s="97">
        <f ca="1">VLOOKUP(4,R758:S781,2,0)</f>
        <v>0</v>
      </c>
      <c r="W761" s="95" t="str">
        <f t="shared" ca="1" si="295"/>
        <v/>
      </c>
      <c r="X761" s="95">
        <f ca="1">IF(F$5=0,IF(AND(G761=G813,NOT(G761=G787),NOT(G761=G839),LEN(W761)&gt;0),2,IF(LEN(W761)=0,0,1)),0)</f>
        <v>0</v>
      </c>
      <c r="Y761" s="95" t="str">
        <f t="shared" ca="1" si="296"/>
        <v xml:space="preserve"> 0-0</v>
      </c>
      <c r="Z761" s="95" t="str">
        <f t="shared" ca="1" si="297"/>
        <v xml:space="preserve"> 0-0</v>
      </c>
      <c r="AA761" s="95" t="str">
        <f t="shared" ca="1" si="298"/>
        <v xml:space="preserve"> 0-0</v>
      </c>
      <c r="AB761" s="95" t="str">
        <f t="shared" ca="1" si="299"/>
        <v xml:space="preserve"> 0-0</v>
      </c>
      <c r="AC761" s="95" t="str">
        <f ca="1">IF(AND(LEN(W761)&gt;0,F$5=0),IF(X761=2,W761&amp;" +2, ",W761&amp;", "),"")</f>
        <v/>
      </c>
    </row>
    <row r="762" spans="1:29">
      <c r="A762" s="95">
        <v>5</v>
      </c>
      <c r="B762" s="95">
        <f ca="1">IF(Doubles!N95="",0,Doubles!N95)</f>
        <v>0</v>
      </c>
      <c r="C762" s="99" t="str">
        <f ca="1">IF(OR(LEFT(B762,LEN(B$6))=B$6,LEFT(B762,LEN(C$6))=C$6,LEN(B762)&lt;2),"",IF(B762="no pick","","Wrong pick"))</f>
        <v/>
      </c>
      <c r="D762" s="95">
        <f t="shared" ca="1" si="286"/>
        <v>0</v>
      </c>
      <c r="E762" s="95">
        <f t="shared" ca="1" si="287"/>
        <v>1</v>
      </c>
      <c r="G762" s="95" t="str">
        <f ca="1">IF(B762=0,"",IF(B762="no pick","No Pick",IF(LEFT(B762,LEN(B$6))=B$6,B$6,C$6)))</f>
        <v/>
      </c>
      <c r="H762" s="95" t="str">
        <f t="shared" ca="1" si="288"/>
        <v>0-0</v>
      </c>
      <c r="I762" s="95" t="str">
        <f ca="1">IF(AND(J762=$I$2,F$6=0,NOT(E$6="")),IF(OR(AND(Y762=AA762,Z762=AB762),AND(Y762=AB762,Z762=AA762)),"",IF(AND(Y762=Z762,AA762=AB762),Y762&amp;" +2 v. "&amp;AA762&amp;" +2, ",IF(Y762=AA762,Z762&amp;" v. "&amp;AB762&amp;", ",IF(Z762=AB762,Y762&amp;" v. "&amp;AA762&amp;", ",IF(Y762=AB762,Z762&amp;" v. "&amp;AA762&amp;", ",IF(Z762=AA762,Y762&amp;" v. "&amp;AB762&amp;", ",Y762&amp;" v. "&amp;AA762&amp;", "&amp;Z762&amp;" v. "&amp;AB762&amp;", ")))))),"")</f>
        <v/>
      </c>
      <c r="J762" s="97">
        <f>D$6</f>
        <v>1</v>
      </c>
      <c r="K762" s="95" t="str">
        <f t="shared" ca="1" si="289"/>
        <v>SR</v>
      </c>
      <c r="L762" s="95" t="str">
        <f t="shared" ca="1" si="290"/>
        <v>0</v>
      </c>
      <c r="M762" s="95" t="str">
        <f t="shared" ca="1" si="291"/>
        <v>0</v>
      </c>
      <c r="N762" s="95" t="str">
        <f t="shared" ca="1" si="292"/>
        <v>0</v>
      </c>
      <c r="O762" s="95" t="str">
        <f t="shared" ca="1" si="293"/>
        <v>0</v>
      </c>
      <c r="P762" s="95" t="str">
        <f t="shared" ca="1" si="294"/>
        <v>0</v>
      </c>
      <c r="Q762" s="95">
        <f ca="1">IF(AND(G762=T$6,LEN(G762)&gt;1),1,0)</f>
        <v>0</v>
      </c>
      <c r="R762" s="97">
        <f>Doubles!G$6</f>
        <v>5</v>
      </c>
      <c r="S762" s="95">
        <f ca="1">IF(AND(H762=H$6,LEN(H762)&gt;1,Q762=1),1,0)</f>
        <v>0</v>
      </c>
      <c r="U762" s="95" t="str">
        <f>IF(B757="Bye","Bye[/b] vs. [b][color=blue]"&amp;T783&amp;"/"&amp;T835&amp;IF(LEN(D783)&gt;1," ("&amp;D783&amp;"/"&amp;D835&amp;")","")&amp;"[/color][/b]",IF(B783="Bye","[color=blue]"&amp;T757&amp;"/"&amp;T809&amp;IF(LEN(D757)&gt;1," ("&amp;D757&amp;"/"&amp;D809&amp;")","")&amp;"[/color][/b] vs. [b]Bye[/b]",""))</f>
        <v/>
      </c>
      <c r="V762" s="97">
        <f ca="1">VLOOKUP(5,R758:S781,2,0)</f>
        <v>0</v>
      </c>
      <c r="W762" s="95" t="str">
        <f t="shared" ca="1" si="295"/>
        <v/>
      </c>
      <c r="X762" s="95">
        <f ca="1">IF(F$6=0,IF(AND(G762=G814,NOT(G762=G788),NOT(G762=G840),LEN(W762)&gt;0),2,IF(LEN(W762)=0,0,1)),0)</f>
        <v>0</v>
      </c>
      <c r="Y762" s="95" t="str">
        <f t="shared" ca="1" si="296"/>
        <v xml:space="preserve"> 0-0</v>
      </c>
      <c r="Z762" s="95" t="str">
        <f t="shared" ca="1" si="297"/>
        <v xml:space="preserve"> 0-0</v>
      </c>
      <c r="AA762" s="95" t="str">
        <f t="shared" ca="1" si="298"/>
        <v xml:space="preserve"> 0-0</v>
      </c>
      <c r="AB762" s="95" t="str">
        <f t="shared" ca="1" si="299"/>
        <v xml:space="preserve"> 0-0</v>
      </c>
      <c r="AC762" s="95" t="str">
        <f ca="1">IF(AND(LEN(W762)&gt;0,F$6=0),IF(X762=2,W762&amp;" +2, ",W762&amp;", "),"")</f>
        <v/>
      </c>
    </row>
    <row r="763" spans="1:29">
      <c r="A763" s="95">
        <v>6</v>
      </c>
      <c r="B763" s="95">
        <f ca="1">IF(Doubles!N96="",0,Doubles!N96)</f>
        <v>0</v>
      </c>
      <c r="C763" s="99" t="str">
        <f ca="1">IF(OR(LEFT(B763,LEN(B$7))=B$7,LEFT(B763,LEN(C$7))=C$7,LEN(B763)&lt;2),"",IF(B763="no pick","","Wrong pick"))</f>
        <v/>
      </c>
      <c r="D763" s="95">
        <f t="shared" ca="1" si="286"/>
        <v>0</v>
      </c>
      <c r="E763" s="95">
        <f t="shared" ca="1" si="287"/>
        <v>1</v>
      </c>
      <c r="G763" s="95" t="str">
        <f ca="1">IF(B763=0,"",IF(B763="no pick","No Pick",IF(LEFT(B763,LEN(B$7))=B$7,B$7,C$7)))</f>
        <v/>
      </c>
      <c r="H763" s="95" t="str">
        <f t="shared" ca="1" si="288"/>
        <v>0-0</v>
      </c>
      <c r="I763" s="95" t="str">
        <f ca="1">IF(AND(J763=$I$2,F$7=0,NOT(E$7="")),IF(OR(AND(Y763=AA763,Z763=AB763),AND(Y763=AB763,Z763=AA763)),"",IF(AND(Y763=Z763,AA763=AB763),Y763&amp;" +2 v. "&amp;AA763&amp;" +2, ",IF(Y763=AA763,Z763&amp;" v. "&amp;AB763&amp;", ",IF(Z763=AB763,Y763&amp;" v. "&amp;AA763&amp;", ",IF(Y763=AB763,Z763&amp;" v. "&amp;AA763&amp;", ",IF(Z763=AA763,Y763&amp;" v. "&amp;AB763&amp;", ",Y763&amp;" v. "&amp;AA763&amp;", "&amp;Z763&amp;" v. "&amp;AB763&amp;", ")))))),"")</f>
        <v/>
      </c>
      <c r="J763" s="97">
        <f>D$7</f>
        <v>1</v>
      </c>
      <c r="K763" s="95" t="str">
        <f t="shared" ca="1" si="289"/>
        <v>SR</v>
      </c>
      <c r="L763" s="95" t="str">
        <f t="shared" ca="1" si="290"/>
        <v>0</v>
      </c>
      <c r="M763" s="95" t="str">
        <f t="shared" ca="1" si="291"/>
        <v>0</v>
      </c>
      <c r="N763" s="95" t="str">
        <f t="shared" ca="1" si="292"/>
        <v>0</v>
      </c>
      <c r="O763" s="95" t="str">
        <f t="shared" ca="1" si="293"/>
        <v>0</v>
      </c>
      <c r="P763" s="95" t="str">
        <f t="shared" ca="1" si="294"/>
        <v>0</v>
      </c>
      <c r="Q763" s="95">
        <f ca="1">IF(AND(G763=T$7,LEN(G763)&gt;1),1,0)</f>
        <v>0</v>
      </c>
      <c r="R763" s="97">
        <f>Doubles!G$7</f>
        <v>6</v>
      </c>
      <c r="S763" s="95">
        <f ca="1">IF(AND(H763=H$7,LEN(H763)&gt;1,Q763=1),1,0)</f>
        <v>0</v>
      </c>
      <c r="T763" s="105">
        <f ca="1">SUM(Q758:Q781)</f>
        <v>0</v>
      </c>
      <c r="U763" s="97">
        <f ca="1">SUM(S758:S781)</f>
        <v>0</v>
      </c>
      <c r="V763" s="97">
        <f ca="1">VLOOKUP(6,R758:S781,2,0)</f>
        <v>0</v>
      </c>
      <c r="W763" s="95" t="str">
        <f t="shared" ca="1" si="295"/>
        <v/>
      </c>
      <c r="X763" s="95">
        <f ca="1">IF(F$7=0,IF(AND(G763=G815,NOT(G763=G789),NOT(G763=G841),LEN(W763)&gt;0),2,IF(LEN(W763)=0,0,1)),0)</f>
        <v>0</v>
      </c>
      <c r="Y763" s="95" t="str">
        <f t="shared" ca="1" si="296"/>
        <v xml:space="preserve"> 0-0</v>
      </c>
      <c r="Z763" s="95" t="str">
        <f t="shared" ca="1" si="297"/>
        <v xml:space="preserve"> 0-0</v>
      </c>
      <c r="AA763" s="95" t="str">
        <f t="shared" ca="1" si="298"/>
        <v xml:space="preserve"> 0-0</v>
      </c>
      <c r="AB763" s="95" t="str">
        <f t="shared" ca="1" si="299"/>
        <v xml:space="preserve"> 0-0</v>
      </c>
      <c r="AC763" s="95" t="str">
        <f ca="1">IF(AND(LEN(W763)&gt;0,F$7=0),IF(X763=2,W763&amp;" +2, ",W763&amp;", "),"")</f>
        <v/>
      </c>
    </row>
    <row r="764" spans="1:29">
      <c r="A764" s="95">
        <v>7</v>
      </c>
      <c r="B764" s="95">
        <f ca="1">IF(Doubles!N97="",0,Doubles!N97)</f>
        <v>0</v>
      </c>
      <c r="C764" s="99" t="str">
        <f ca="1">IF(OR(LEFT(B764,LEN(B$8))=B$8,LEFT(B764,LEN(C$8))=C$8,LEN(B764)&lt;2),"",IF(B764="no pick","","Wrong pick"))</f>
        <v/>
      </c>
      <c r="D764" s="95">
        <f t="shared" ca="1" si="286"/>
        <v>0</v>
      </c>
      <c r="E764" s="95">
        <f t="shared" ca="1" si="287"/>
        <v>1</v>
      </c>
      <c r="G764" s="95" t="str">
        <f ca="1">IF(B764=0,"",IF(B764="no pick","No Pick",IF(LEFT(B764,LEN(B$8))=B$8,B$8,C$8)))</f>
        <v/>
      </c>
      <c r="H764" s="95" t="str">
        <f t="shared" ca="1" si="288"/>
        <v>0-0</v>
      </c>
      <c r="I764" s="95" t="str">
        <f ca="1">IF(AND(J764=$I$2,F$8=0,NOT(E$8="")),IF(OR(AND(Y764=AA764,Z764=AB764),AND(Y764=AB764,Z764=AA764)),"",IF(AND(Y764=Z764,AA764=AB764),Y764&amp;" +2 v. "&amp;AA764&amp;" +2, ",IF(Y764=AA764,Z764&amp;" v. "&amp;AB764&amp;", ",IF(Z764=AB764,Y764&amp;" v. "&amp;AA764&amp;", ",IF(Y764=AB764,Z764&amp;" v. "&amp;AA764&amp;", ",IF(Z764=AA764,Y764&amp;" v. "&amp;AB764&amp;", ",Y764&amp;" v. "&amp;AA764&amp;", "&amp;Z764&amp;" v. "&amp;AB764&amp;", ")))))),"")</f>
        <v/>
      </c>
      <c r="J764" s="97">
        <f>D$8</f>
        <v>1</v>
      </c>
      <c r="K764" s="95" t="str">
        <f t="shared" ca="1" si="289"/>
        <v>SR</v>
      </c>
      <c r="L764" s="95" t="str">
        <f t="shared" ca="1" si="290"/>
        <v>0</v>
      </c>
      <c r="M764" s="95" t="str">
        <f t="shared" ca="1" si="291"/>
        <v>0</v>
      </c>
      <c r="N764" s="95" t="str">
        <f t="shared" ca="1" si="292"/>
        <v>0</v>
      </c>
      <c r="O764" s="95" t="str">
        <f t="shared" ca="1" si="293"/>
        <v>0</v>
      </c>
      <c r="P764" s="95" t="str">
        <f t="shared" ca="1" si="294"/>
        <v>0</v>
      </c>
      <c r="Q764" s="95">
        <f ca="1">IF(AND(G764=T$8,LEN(G764)&gt;1),1,0)</f>
        <v>0</v>
      </c>
      <c r="R764" s="97">
        <f>Doubles!G$8</f>
        <v>7</v>
      </c>
      <c r="S764" s="95">
        <f ca="1">IF(AND(H764=H$8,LEN(H764)&gt;1,Q764=1),1,0)</f>
        <v>0</v>
      </c>
      <c r="T764" s="105">
        <f ca="1">SUM(Q784:Q807)</f>
        <v>0</v>
      </c>
      <c r="U764" s="97">
        <f ca="1">SUM(S784:S807)</f>
        <v>0</v>
      </c>
      <c r="V764" s="97">
        <f ca="1">VLOOKUP(7,R758:S781,2,0)</f>
        <v>0</v>
      </c>
      <c r="W764" s="95" t="str">
        <f t="shared" ca="1" si="295"/>
        <v/>
      </c>
      <c r="X764" s="95">
        <f ca="1">IF(F$8=0,IF(AND(G764=G816,NOT(G764=G790),NOT(G764=G842),LEN(W764)&gt;0),2,IF(LEN(W764)=0,0,1)),0)</f>
        <v>0</v>
      </c>
      <c r="Y764" s="95" t="str">
        <f t="shared" ca="1" si="296"/>
        <v xml:space="preserve"> 0-0</v>
      </c>
      <c r="Z764" s="95" t="str">
        <f t="shared" ca="1" si="297"/>
        <v xml:space="preserve"> 0-0</v>
      </c>
      <c r="AA764" s="95" t="str">
        <f t="shared" ca="1" si="298"/>
        <v xml:space="preserve"> 0-0</v>
      </c>
      <c r="AB764" s="95" t="str">
        <f t="shared" ca="1" si="299"/>
        <v xml:space="preserve"> 0-0</v>
      </c>
      <c r="AC764" s="95" t="str">
        <f ca="1">IF(AND(LEN(W764)&gt;0,F$8=0),IF(X764=2,W764&amp;" +2, ",W764&amp;", "),"")</f>
        <v/>
      </c>
    </row>
    <row r="765" spans="1:29">
      <c r="A765" s="95">
        <v>8</v>
      </c>
      <c r="B765" s="95">
        <f ca="1">IF(Doubles!N98="",0,Doubles!N98)</f>
        <v>0</v>
      </c>
      <c r="C765" s="99" t="str">
        <f ca="1">IF(OR(LEFT(B765,LEN(B$9))=B$9,LEFT(B765,LEN(C$9))=C$9,LEN(B765)&lt;2),"",IF(B765="no pick","","Wrong pick"))</f>
        <v/>
      </c>
      <c r="D765" s="95">
        <f t="shared" ca="1" si="286"/>
        <v>0</v>
      </c>
      <c r="E765" s="95">
        <f t="shared" ca="1" si="287"/>
        <v>1</v>
      </c>
      <c r="G765" s="95" t="str">
        <f ca="1">IF(B765=0,"",IF(B765="no pick","No Pick",IF(LEFT(B765,LEN(B$9))=B$9,B$9,C$9)))</f>
        <v/>
      </c>
      <c r="H765" s="95" t="str">
        <f t="shared" ca="1" si="288"/>
        <v>0-0</v>
      </c>
      <c r="I765" s="95" t="str">
        <f ca="1">IF(AND(J765=$I$2,F$9=0,NOT(E$9="")),IF(OR(AND(Y765=AA765,Z765=AB765),AND(Y765=AB765,Z765=AA765)),"",IF(AND(Y765=Z765,AA765=AB765),Y765&amp;" +2 v. "&amp;AA765&amp;" +2, ",IF(Y765=AA765,Z765&amp;" v. "&amp;AB765&amp;", ",IF(Z765=AB765,Y765&amp;" v. "&amp;AA765&amp;", ",IF(Y765=AB765,Z765&amp;" v. "&amp;AA765&amp;", ",IF(Z765=AA765,Y765&amp;" v. "&amp;AB765&amp;", ",Y765&amp;" v. "&amp;AA765&amp;", "&amp;Z765&amp;" v. "&amp;AB765&amp;", ")))))),"")</f>
        <v/>
      </c>
      <c r="J765" s="97">
        <f>D$9</f>
        <v>1</v>
      </c>
      <c r="K765" s="95" t="str">
        <f t="shared" ca="1" si="289"/>
        <v>SR</v>
      </c>
      <c r="L765" s="95" t="str">
        <f t="shared" ca="1" si="290"/>
        <v>0</v>
      </c>
      <c r="M765" s="95" t="str">
        <f t="shared" ca="1" si="291"/>
        <v>0</v>
      </c>
      <c r="N765" s="95" t="str">
        <f t="shared" ca="1" si="292"/>
        <v>0</v>
      </c>
      <c r="O765" s="95" t="str">
        <f t="shared" ca="1" si="293"/>
        <v>0</v>
      </c>
      <c r="P765" s="95" t="str">
        <f t="shared" ca="1" si="294"/>
        <v>0</v>
      </c>
      <c r="Q765" s="95">
        <f ca="1">IF(AND(G765=T$9,LEN(G765)&gt;1),1,0)</f>
        <v>0</v>
      </c>
      <c r="R765" s="97">
        <f>Doubles!G$9</f>
        <v>8</v>
      </c>
      <c r="S765" s="95">
        <f ca="1">IF(AND(H765=H$9,LEN(H765)&gt;1,Q765=1),1,0)</f>
        <v>0</v>
      </c>
      <c r="V765" s="97">
        <f ca="1">VLOOKUP(8,R758:S781,2,0)</f>
        <v>0</v>
      </c>
      <c r="W765" s="95" t="str">
        <f t="shared" ca="1" si="295"/>
        <v/>
      </c>
      <c r="X765" s="95">
        <f ca="1">IF(F$9=0,IF(AND(G765=G817,NOT(G765=G791),NOT(G765=G843),LEN(W765)&gt;0),2,IF(LEN(W765)=0,0,1)),0)</f>
        <v>0</v>
      </c>
      <c r="Y765" s="95" t="str">
        <f t="shared" ca="1" si="296"/>
        <v xml:space="preserve"> 0-0</v>
      </c>
      <c r="Z765" s="95" t="str">
        <f t="shared" ca="1" si="297"/>
        <v xml:space="preserve"> 0-0</v>
      </c>
      <c r="AA765" s="95" t="str">
        <f t="shared" ca="1" si="298"/>
        <v xml:space="preserve"> 0-0</v>
      </c>
      <c r="AB765" s="95" t="str">
        <f t="shared" ca="1" si="299"/>
        <v xml:space="preserve"> 0-0</v>
      </c>
      <c r="AC765" s="95" t="str">
        <f ca="1">IF(AND(LEN(W765)&gt;0,F$9=0),IF(X765=2,W765&amp;" +2, ",W765&amp;", "),"")</f>
        <v/>
      </c>
    </row>
    <row r="766" spans="1:29">
      <c r="A766" s="95">
        <v>9</v>
      </c>
      <c r="B766" s="95">
        <f ca="1">IF(Doubles!N99="",0,Doubles!N99)</f>
        <v>0</v>
      </c>
      <c r="C766" s="99" t="str">
        <f ca="1">IF(OR(LEFT(B766,LEN(B$10))=B$10,LEFT(B766,LEN(C$10))=C$10,LEN(B766)&lt;2),"",IF(B766="no pick","","Wrong pick"))</f>
        <v/>
      </c>
      <c r="D766" s="95">
        <f t="shared" ca="1" si="286"/>
        <v>0</v>
      </c>
      <c r="E766" s="95">
        <f t="shared" ca="1" si="287"/>
        <v>1</v>
      </c>
      <c r="G766" s="95" t="str">
        <f ca="1">IF(B766=0,"",IF(B766="no pick","No Pick",IF(LEFT(B766,LEN(B$10))=B$10,B$10,C$10)))</f>
        <v/>
      </c>
      <c r="H766" s="95" t="str">
        <f t="shared" ca="1" si="288"/>
        <v>0-0</v>
      </c>
      <c r="I766" s="95" t="str">
        <f ca="1">IF(AND(J766=$I$2,F$10=0,NOT(E$10="")),IF(OR(AND(Y766=AA766,Z766=AB766),AND(Y766=AB766,Z766=AA766)),"",IF(AND(Y766=Z766,AA766=AB766),Y766&amp;" +2 v. "&amp;AA766&amp;" +2, ",IF(Y766=AA766,Z766&amp;" v. "&amp;AB766&amp;", ",IF(Z766=AB766,Y766&amp;" v. "&amp;AA766&amp;", ",IF(Y766=AB766,Z766&amp;" v. "&amp;AA766&amp;", ",IF(Z766=AA766,Y766&amp;" v. "&amp;AB766&amp;", ",Y766&amp;" v. "&amp;AA766&amp;", "&amp;Z766&amp;" v. "&amp;AB766&amp;", ")))))),"")</f>
        <v/>
      </c>
      <c r="J766" s="97">
        <f>D$10</f>
        <v>1</v>
      </c>
      <c r="K766" s="95" t="str">
        <f t="shared" ca="1" si="289"/>
        <v>SR</v>
      </c>
      <c r="L766" s="95" t="str">
        <f t="shared" ca="1" si="290"/>
        <v>0</v>
      </c>
      <c r="M766" s="95" t="str">
        <f t="shared" ca="1" si="291"/>
        <v>0</v>
      </c>
      <c r="N766" s="95" t="str">
        <f t="shared" ca="1" si="292"/>
        <v>0</v>
      </c>
      <c r="O766" s="95" t="str">
        <f t="shared" ca="1" si="293"/>
        <v>0</v>
      </c>
      <c r="P766" s="95" t="str">
        <f t="shared" ca="1" si="294"/>
        <v>0</v>
      </c>
      <c r="Q766" s="95">
        <f ca="1">IF(AND(G766=T$10,LEN(G766)&gt;1),1,0)</f>
        <v>0</v>
      </c>
      <c r="R766" s="97">
        <f>Doubles!G$10</f>
        <v>9</v>
      </c>
      <c r="S766" s="95">
        <f ca="1">IF(AND(H766=H$10,LEN(H766)&gt;1,Q766=1),1,0)</f>
        <v>0</v>
      </c>
      <c r="T766" s="95" t="e">
        <f>VLOOKUP("Winner",T784:U808,2,0)</f>
        <v>#N/A</v>
      </c>
      <c r="U766" s="95" t="e">
        <f>VLOOKUP(T766,U784:W808,3,0)</f>
        <v>#N/A</v>
      </c>
      <c r="V766" s="97">
        <f ca="1">VLOOKUP(9,R758:S781,2,0)</f>
        <v>0</v>
      </c>
      <c r="W766" s="95" t="str">
        <f t="shared" ca="1" si="295"/>
        <v/>
      </c>
      <c r="X766" s="95">
        <f ca="1">IF(F$10=0,IF(AND(G766=G818,NOT(G766=G792),NOT(G766=G844),LEN(W766)&gt;0),2,IF(LEN(W766)=0,0,1)),0)</f>
        <v>0</v>
      </c>
      <c r="Y766" s="95" t="str">
        <f t="shared" ca="1" si="296"/>
        <v xml:space="preserve"> 0-0</v>
      </c>
      <c r="Z766" s="95" t="str">
        <f t="shared" ca="1" si="297"/>
        <v xml:space="preserve"> 0-0</v>
      </c>
      <c r="AA766" s="95" t="str">
        <f t="shared" ca="1" si="298"/>
        <v xml:space="preserve"> 0-0</v>
      </c>
      <c r="AB766" s="95" t="str">
        <f t="shared" ca="1" si="299"/>
        <v xml:space="preserve"> 0-0</v>
      </c>
      <c r="AC766" s="95" t="str">
        <f ca="1">IF(AND(LEN(W766)&gt;0,F$10=0),IF(X766=2,W766&amp;" +2, ",W766&amp;", "),"")</f>
        <v/>
      </c>
    </row>
    <row r="767" spans="1:29">
      <c r="A767" s="95">
        <v>10</v>
      </c>
      <c r="B767" s="95">
        <f ca="1">IF(Doubles!N100="",0,Doubles!N100)</f>
        <v>0</v>
      </c>
      <c r="C767" s="99" t="str">
        <f ca="1">IF(OR(LEFT(B767,LEN(B$11))=B$11,LEFT(B767,LEN(C$11))=C$11,LEN(B767)&lt;2),"",IF(B767="no pick","","Wrong pick"))</f>
        <v/>
      </c>
      <c r="D767" s="95">
        <f t="shared" ca="1" si="286"/>
        <v>0</v>
      </c>
      <c r="E767" s="95">
        <f t="shared" ca="1" si="287"/>
        <v>1</v>
      </c>
      <c r="G767" s="95" t="str">
        <f ca="1">IF(B767=0,"",IF(B767="no pick","No Pick",IF(LEFT(B767,LEN(B$11))=B$11,B$11,C$11)))</f>
        <v/>
      </c>
      <c r="H767" s="95" t="str">
        <f t="shared" ca="1" si="288"/>
        <v>0-0</v>
      </c>
      <c r="I767" s="95" t="str">
        <f ca="1">IF(AND(J767=$I$2,F$11=0,NOT(E$11="")),IF(OR(AND(Y767=AA767,Z767=AB767),AND(Y767=AB767,Z767=AA767)),"",IF(AND(Y767=Z767,AA767=AB767),Y767&amp;" +2 v. "&amp;AA767&amp;" +2, ",IF(Y767=AA767,Z767&amp;" v. "&amp;AB767&amp;", ",IF(Z767=AB767,Y767&amp;" v. "&amp;AA767&amp;", ",IF(Y767=AB767,Z767&amp;" v. "&amp;AA767&amp;", ",IF(Z767=AA767,Y767&amp;" v. "&amp;AB767&amp;", ",Y767&amp;" v. "&amp;AA767&amp;", "&amp;Z767&amp;" v. "&amp;AB767&amp;", ")))))),"")</f>
        <v/>
      </c>
      <c r="J767" s="97">
        <f>D$11</f>
        <v>1</v>
      </c>
      <c r="K767" s="95" t="str">
        <f t="shared" ca="1" si="289"/>
        <v>SR</v>
      </c>
      <c r="L767" s="95" t="str">
        <f t="shared" ca="1" si="290"/>
        <v>0</v>
      </c>
      <c r="M767" s="95" t="str">
        <f t="shared" ca="1" si="291"/>
        <v>0</v>
      </c>
      <c r="N767" s="95" t="str">
        <f t="shared" ca="1" si="292"/>
        <v>0</v>
      </c>
      <c r="O767" s="95" t="str">
        <f t="shared" ca="1" si="293"/>
        <v>0</v>
      </c>
      <c r="P767" s="95" t="str">
        <f t="shared" ca="1" si="294"/>
        <v>0</v>
      </c>
      <c r="Q767" s="95">
        <f ca="1">IF(AND(G767=T$11,LEN(G767)&gt;1),1,0)</f>
        <v>0</v>
      </c>
      <c r="R767" s="97">
        <f>Doubles!G$11</f>
        <v>10</v>
      </c>
      <c r="S767" s="95">
        <f ca="1">IF(AND(H767=H$11,LEN(H767)&gt;1,Q767=1),1,0)</f>
        <v>0</v>
      </c>
      <c r="T767" s="97">
        <f ca="1">T763+T815</f>
        <v>0</v>
      </c>
      <c r="U767" s="95">
        <f ca="1">U763+U815</f>
        <v>0</v>
      </c>
      <c r="V767" s="97">
        <f ca="1">VLOOKUP(10,R758:S781,2,0)</f>
        <v>0</v>
      </c>
      <c r="W767" s="95" t="str">
        <f t="shared" ca="1" si="295"/>
        <v/>
      </c>
      <c r="X767" s="95">
        <f ca="1">IF(F$11=0,IF(AND(G767=G819,NOT(G767=G793),NOT(G767=G845),LEN(W767)&gt;0),2,IF(LEN(W767)=0,0,1)),0)</f>
        <v>0</v>
      </c>
      <c r="Y767" s="95" t="str">
        <f t="shared" ca="1" si="296"/>
        <v xml:space="preserve"> 0-0</v>
      </c>
      <c r="Z767" s="95" t="str">
        <f t="shared" ca="1" si="297"/>
        <v xml:space="preserve"> 0-0</v>
      </c>
      <c r="AA767" s="95" t="str">
        <f t="shared" ca="1" si="298"/>
        <v xml:space="preserve"> 0-0</v>
      </c>
      <c r="AB767" s="95" t="str">
        <f t="shared" ca="1" si="299"/>
        <v xml:space="preserve"> 0-0</v>
      </c>
      <c r="AC767" s="95" t="str">
        <f ca="1">IF(AND(LEN(W767)&gt;0,F$11=0),IF(X767=2,W767&amp;" +2, ",W767&amp;", "),"")</f>
        <v/>
      </c>
    </row>
    <row r="768" spans="1:29">
      <c r="A768" s="95">
        <v>11</v>
      </c>
      <c r="B768" s="95">
        <f ca="1">IF(Doubles!N101="",0,Doubles!N101)</f>
        <v>0</v>
      </c>
      <c r="C768" s="99" t="str">
        <f ca="1">IF(OR(LEFT(B768,LEN(B$12))=B$12,LEFT(B768,LEN(C$12))=C$12,LEN(B768)&lt;2),"",IF(B768="no pick","","Wrong pick"))</f>
        <v/>
      </c>
      <c r="D768" s="95">
        <f t="shared" ca="1" si="286"/>
        <v>0</v>
      </c>
      <c r="E768" s="95">
        <f t="shared" ca="1" si="287"/>
        <v>1</v>
      </c>
      <c r="G768" s="95" t="str">
        <f ca="1">IF(B768=0,"",IF(B768="no pick","No Pick",IF(LEFT(B768,LEN(B$12))=B$12,B$12,C$12)))</f>
        <v/>
      </c>
      <c r="H768" s="95" t="str">
        <f t="shared" ca="1" si="288"/>
        <v>0-0</v>
      </c>
      <c r="I768" s="95" t="str">
        <f ca="1">IF(AND(J768=$I$2,F$12=0,NOT(E$12="")),IF(OR(AND(Y768=AA768,Z768=AB768),AND(Y768=AB768,Z768=AA768)),"",IF(AND(Y768=Z768,AA768=AB768),Y768&amp;" +2 v. "&amp;AA768&amp;" +2, ",IF(Y768=AA768,Z768&amp;" v. "&amp;AB768&amp;", ",IF(Z768=AB768,Y768&amp;" v. "&amp;AA768&amp;", ",IF(Y768=AB768,Z768&amp;" v. "&amp;AA768&amp;", ",IF(Z768=AA768,Y768&amp;" v. "&amp;AB768&amp;", ",Y768&amp;" v. "&amp;AA768&amp;", "&amp;Z768&amp;" v. "&amp;AB768&amp;", ")))))),"")</f>
        <v/>
      </c>
      <c r="J768" s="97">
        <f>D$12</f>
        <v>1</v>
      </c>
      <c r="K768" s="95" t="str">
        <f t="shared" ca="1" si="289"/>
        <v>SR</v>
      </c>
      <c r="L768" s="95" t="str">
        <f t="shared" ca="1" si="290"/>
        <v>0</v>
      </c>
      <c r="M768" s="95" t="str">
        <f t="shared" ca="1" si="291"/>
        <v>0</v>
      </c>
      <c r="N768" s="95" t="str">
        <f t="shared" ca="1" si="292"/>
        <v>0</v>
      </c>
      <c r="O768" s="95" t="str">
        <f t="shared" ca="1" si="293"/>
        <v>0</v>
      </c>
      <c r="P768" s="95" t="str">
        <f t="shared" ca="1" si="294"/>
        <v>0</v>
      </c>
      <c r="Q768" s="95">
        <f ca="1">IF(AND(G768=T$12,LEN(G768)&gt;1),1,0)</f>
        <v>0</v>
      </c>
      <c r="R768" s="97">
        <f>Doubles!G$12</f>
        <v>11</v>
      </c>
      <c r="S768" s="95">
        <f ca="1">IF(AND(H768=H$12,LEN(H768)&gt;1,Q768=1),1,0)</f>
        <v>0</v>
      </c>
      <c r="T768" s="97">
        <f ca="1">T764+T816</f>
        <v>0</v>
      </c>
      <c r="U768" s="95">
        <f ca="1">U764+U816</f>
        <v>0</v>
      </c>
      <c r="V768" s="97">
        <f ca="1">VLOOKUP(11,R758:S781,2,0)</f>
        <v>0</v>
      </c>
      <c r="W768" s="95" t="str">
        <f t="shared" ca="1" si="295"/>
        <v/>
      </c>
      <c r="X768" s="95">
        <f ca="1">IF(F$12=0,IF(AND(G768=G820,NOT(G768=G794),NOT(G768=G846),LEN(W768)&gt;0),2,IF(LEN(W768)=0,0,1)),0)</f>
        <v>0</v>
      </c>
      <c r="Y768" s="95" t="str">
        <f t="shared" ca="1" si="296"/>
        <v xml:space="preserve"> 0-0</v>
      </c>
      <c r="Z768" s="95" t="str">
        <f t="shared" ca="1" si="297"/>
        <v xml:space="preserve"> 0-0</v>
      </c>
      <c r="AA768" s="95" t="str">
        <f t="shared" ca="1" si="298"/>
        <v xml:space="preserve"> 0-0</v>
      </c>
      <c r="AB768" s="95" t="str">
        <f t="shared" ca="1" si="299"/>
        <v xml:space="preserve"> 0-0</v>
      </c>
      <c r="AC768" s="95" t="str">
        <f ca="1">IF(AND(LEN(W768)&gt;0,F$12=0),IF(X768=2,W768&amp;" +2, ",W768&amp;", "),"")</f>
        <v/>
      </c>
    </row>
    <row r="769" spans="1:29">
      <c r="A769" s="95">
        <v>12</v>
      </c>
      <c r="B769" s="95">
        <f ca="1">IF(Doubles!N102="",0,Doubles!N102)</f>
        <v>0</v>
      </c>
      <c r="C769" s="99" t="str">
        <f ca="1">IF(OR(LEFT(B769,LEN(B$13))=B$13,LEFT(B769,LEN(C$13))=C$13,LEN(B769)&lt;2),"",IF(B769="no pick","","Wrong pick"))</f>
        <v/>
      </c>
      <c r="D769" s="95">
        <f t="shared" ca="1" si="286"/>
        <v>0</v>
      </c>
      <c r="E769" s="95">
        <f t="shared" ca="1" si="287"/>
        <v>1</v>
      </c>
      <c r="G769" s="95" t="str">
        <f ca="1">IF(B769=0,"",IF(B769="no pick","No Pick",IF(LEFT(B769,LEN(B$13))=B$13,B$13,C$13)))</f>
        <v/>
      </c>
      <c r="H769" s="95" t="str">
        <f t="shared" ca="1" si="288"/>
        <v>0-0</v>
      </c>
      <c r="I769" s="95" t="str">
        <f ca="1">IF(AND(J769=$I$2,F$13=0,NOT(E$13="")),IF(OR(AND(Y769=AA769,Z769=AB769),AND(Y769=AB769,Z769=AA769)),"",IF(AND(Y769=Z769,AA769=AB769),Y769&amp;" +2 v. "&amp;AA769&amp;" +2, ",IF(Y769=AA769,Z769&amp;" v. "&amp;AB769&amp;", ",IF(Z769=AB769,Y769&amp;" v. "&amp;AA769&amp;", ",IF(Y769=AB769,Z769&amp;" v. "&amp;AA769&amp;", ",IF(Z769=AA769,Y769&amp;" v. "&amp;AB769&amp;", ",Y769&amp;" v. "&amp;AA769&amp;", "&amp;Z769&amp;" v. "&amp;AB769&amp;", ")))))),"")</f>
        <v/>
      </c>
      <c r="J769" s="97">
        <f>D$13</f>
        <v>1</v>
      </c>
      <c r="K769" s="95" t="str">
        <f t="shared" ca="1" si="289"/>
        <v>SR</v>
      </c>
      <c r="L769" s="95" t="str">
        <f t="shared" ca="1" si="290"/>
        <v>0</v>
      </c>
      <c r="M769" s="95" t="str">
        <f t="shared" ca="1" si="291"/>
        <v>0</v>
      </c>
      <c r="N769" s="95" t="str">
        <f t="shared" ca="1" si="292"/>
        <v>0</v>
      </c>
      <c r="O769" s="95" t="str">
        <f t="shared" ca="1" si="293"/>
        <v>0</v>
      </c>
      <c r="P769" s="95" t="str">
        <f t="shared" ca="1" si="294"/>
        <v>0</v>
      </c>
      <c r="Q769" s="95">
        <f ca="1">IF(AND(G769=T$13,LEN(G769)&gt;1),1,0)</f>
        <v>0</v>
      </c>
      <c r="R769" s="97">
        <f>Doubles!G$13</f>
        <v>12</v>
      </c>
      <c r="S769" s="95">
        <f ca="1">IF(AND(H769=H$13,LEN(H769)&gt;1,Q769=1),1,0)</f>
        <v>0</v>
      </c>
      <c r="V769" s="97">
        <f ca="1">VLOOKUP(12,R758:S781,2,0)</f>
        <v>0</v>
      </c>
      <c r="W769" s="95" t="str">
        <f t="shared" ca="1" si="295"/>
        <v/>
      </c>
      <c r="X769" s="95">
        <f ca="1">IF(F$13=0,IF(AND(G769=G821,NOT(G769=G795),NOT(G769=G847),LEN(W769)&gt;0),2,IF(LEN(W769)=0,0,1)),0)</f>
        <v>0</v>
      </c>
      <c r="Y769" s="95" t="str">
        <f t="shared" ca="1" si="296"/>
        <v xml:space="preserve"> 0-0</v>
      </c>
      <c r="Z769" s="95" t="str">
        <f t="shared" ca="1" si="297"/>
        <v xml:space="preserve"> 0-0</v>
      </c>
      <c r="AA769" s="95" t="str">
        <f t="shared" ca="1" si="298"/>
        <v xml:space="preserve"> 0-0</v>
      </c>
      <c r="AB769" s="95" t="str">
        <f t="shared" ca="1" si="299"/>
        <v xml:space="preserve"> 0-0</v>
      </c>
      <c r="AC769" s="95" t="str">
        <f ca="1">IF(AND(LEN(W769)&gt;0,F$13=0),IF(X769=2,W769&amp;" +2, ",W769&amp;", "),"")</f>
        <v/>
      </c>
    </row>
    <row r="770" spans="1:29">
      <c r="A770" s="95">
        <v>13</v>
      </c>
      <c r="B770" s="95">
        <f ca="1">IF(Doubles!N103="",0,Doubles!N103)</f>
        <v>0</v>
      </c>
      <c r="C770" s="99" t="str">
        <f ca="1">IF(OR(LEFT(B770,LEN(B$14))=B$14,LEFT(B770,LEN(C$14))=C$14,LEN(B770)&lt;2),"",IF(B770="no pick","","Wrong pick"))</f>
        <v/>
      </c>
      <c r="D770" s="95">
        <f t="shared" ca="1" si="286"/>
        <v>0</v>
      </c>
      <c r="E770" s="95">
        <f t="shared" ca="1" si="287"/>
        <v>1</v>
      </c>
      <c r="G770" s="95" t="str">
        <f ca="1">IF(B770=0,"",IF(B770="no pick","No Pick",IF(LEFT(B770,LEN(B$14))=B$14,B$14,C$14)))</f>
        <v/>
      </c>
      <c r="H770" s="95" t="str">
        <f t="shared" ca="1" si="288"/>
        <v>0-0</v>
      </c>
      <c r="I770" s="95" t="str">
        <f ca="1">IF(AND(J770=$I$2,F$14=0,NOT(E$14="")),IF(OR(AND(Y770=AA770,Z770=AB770),AND(Y770=AB770,Z770=AA770)),"",IF(AND(Y770=Z770,AA770=AB770),Y770&amp;" +2 v. "&amp;AA770&amp;" +2, ",IF(Y770=AA770,Z770&amp;" v. "&amp;AB770&amp;", ",IF(Z770=AB770,Y770&amp;" v. "&amp;AA770&amp;", ",IF(Y770=AB770,Z770&amp;" v. "&amp;AA770&amp;", ",IF(Z770=AA770,Y770&amp;" v. "&amp;AB770&amp;", ",Y770&amp;" v. "&amp;AA770&amp;", "&amp;Z770&amp;" v. "&amp;AB770&amp;", ")))))),"")</f>
        <v/>
      </c>
      <c r="J770" s="97">
        <f>D$14</f>
        <v>1</v>
      </c>
      <c r="K770" s="95" t="str">
        <f t="shared" ca="1" si="289"/>
        <v>SR</v>
      </c>
      <c r="L770" s="95" t="str">
        <f t="shared" ca="1" si="290"/>
        <v>0</v>
      </c>
      <c r="M770" s="95" t="str">
        <f t="shared" ca="1" si="291"/>
        <v>0</v>
      </c>
      <c r="N770" s="95" t="str">
        <f t="shared" ca="1" si="292"/>
        <v>0</v>
      </c>
      <c r="O770" s="95" t="str">
        <f t="shared" ca="1" si="293"/>
        <v>0</v>
      </c>
      <c r="P770" s="95" t="str">
        <f t="shared" ca="1" si="294"/>
        <v>0</v>
      </c>
      <c r="Q770" s="95">
        <f ca="1">IF(AND(G770=T$14,LEN(G770)&gt;1),1,0)</f>
        <v>0</v>
      </c>
      <c r="R770" s="97">
        <f>Doubles!G$14</f>
        <v>13</v>
      </c>
      <c r="S770" s="95">
        <f ca="1">IF(AND(H770=H$14,LEN(H770)&gt;1,Q770=1),1,0)</f>
        <v>0</v>
      </c>
      <c r="V770" s="97">
        <f ca="1">VLOOKUP(13,R758:S781,2,0)</f>
        <v>0</v>
      </c>
      <c r="W770" s="95" t="str">
        <f t="shared" ca="1" si="295"/>
        <v/>
      </c>
      <c r="X770" s="95">
        <f ca="1">IF(F$14=0,IF(AND(G770=G822,NOT(G770=G796),NOT(G770=G848),LEN(W770)&gt;0),2,IF(LEN(W770)=0,0,1)),0)</f>
        <v>0</v>
      </c>
      <c r="Y770" s="95" t="str">
        <f t="shared" ca="1" si="296"/>
        <v xml:space="preserve"> 0-0</v>
      </c>
      <c r="Z770" s="95" t="str">
        <f t="shared" ca="1" si="297"/>
        <v xml:space="preserve"> 0-0</v>
      </c>
      <c r="AA770" s="95" t="str">
        <f t="shared" ca="1" si="298"/>
        <v xml:space="preserve"> 0-0</v>
      </c>
      <c r="AB770" s="95" t="str">
        <f t="shared" ca="1" si="299"/>
        <v xml:space="preserve"> 0-0</v>
      </c>
      <c r="AC770" s="95" t="str">
        <f ca="1">IF(AND(LEN(W770)&gt;0,F$14=0),IF(X770=2,W770&amp;" +2, ",W770&amp;", "),"")</f>
        <v/>
      </c>
    </row>
    <row r="771" spans="1:29">
      <c r="A771" s="95">
        <v>14</v>
      </c>
      <c r="B771" s="95">
        <f ca="1">IF(Doubles!N104="",0,Doubles!N104)</f>
        <v>0</v>
      </c>
      <c r="C771" s="99" t="str">
        <f ca="1">IF(OR(LEFT(B771,LEN(B$15))=B$15,LEFT(B771,LEN(C$15))=C$15,LEN(B771)&lt;2),"",IF(B771="no pick","","Wrong pick"))</f>
        <v/>
      </c>
      <c r="D771" s="95">
        <f t="shared" ca="1" si="286"/>
        <v>0</v>
      </c>
      <c r="E771" s="95">
        <f t="shared" ca="1" si="287"/>
        <v>1</v>
      </c>
      <c r="G771" s="95" t="str">
        <f ca="1">IF(B771=0,"",IF(B771="no pick","No Pick",IF(LEFT(B771,LEN(B$15))=B$15,B$15,C$15)))</f>
        <v/>
      </c>
      <c r="H771" s="95" t="str">
        <f t="shared" ca="1" si="288"/>
        <v>0-0</v>
      </c>
      <c r="I771" s="95" t="str">
        <f ca="1">IF(AND(J771=$I$2,F$15=0,NOT(E$15="")),IF(OR(AND(Y771=AA771,Z771=AB771),AND(Y771=AB771,Z771=AA771)),"",IF(AND(Y771=Z771,AA771=AB771),Y771&amp;" +2 v. "&amp;AA771&amp;" +2, ",IF(Y771=AA771,Z771&amp;" v. "&amp;AB771&amp;", ",IF(Z771=AB771,Y771&amp;" v. "&amp;AA771&amp;", ",IF(Y771=AB771,Z771&amp;" v. "&amp;AA771&amp;", ",IF(Z771=AA771,Y771&amp;" v. "&amp;AB771&amp;", ",Y771&amp;" v. "&amp;AA771&amp;", "&amp;Z771&amp;" v. "&amp;AB771&amp;", ")))))),"")</f>
        <v/>
      </c>
      <c r="J771" s="97">
        <f>D$15</f>
        <v>1</v>
      </c>
      <c r="K771" s="95" t="str">
        <f t="shared" ca="1" si="289"/>
        <v>SR</v>
      </c>
      <c r="L771" s="95" t="str">
        <f t="shared" ca="1" si="290"/>
        <v>0</v>
      </c>
      <c r="M771" s="95" t="str">
        <f t="shared" ca="1" si="291"/>
        <v>0</v>
      </c>
      <c r="N771" s="95" t="str">
        <f t="shared" ca="1" si="292"/>
        <v>0</v>
      </c>
      <c r="O771" s="95" t="str">
        <f t="shared" ca="1" si="293"/>
        <v>0</v>
      </c>
      <c r="P771" s="95" t="str">
        <f t="shared" ca="1" si="294"/>
        <v>0</v>
      </c>
      <c r="Q771" s="95">
        <f ca="1">IF(AND(G771=T$15,LEN(G771)&gt;1),1,0)</f>
        <v>0</v>
      </c>
      <c r="R771" s="97">
        <f>Doubles!G$15</f>
        <v>14</v>
      </c>
      <c r="S771" s="95">
        <f ca="1">IF(AND(H771=H$15,LEN(H771)&gt;1,Q771=1),1,0)</f>
        <v>0</v>
      </c>
      <c r="T771" s="95" t="s">
        <v>127</v>
      </c>
      <c r="U771" s="95" t="str">
        <f>IF(Doubles!$D$22=$F$26,IF(T767&gt;T768,B757&amp;"/"&amp;B809,IF(T767&lt;T768,B783&amp;"/"&amp;B835,IF(U767&gt;U768,B757&amp;"/"&amp;B809,IF(U767&lt;U768,B783&amp;"/"&amp;B835,"Tied, see shootout")))),"No decision yet")</f>
        <v>No decision yet</v>
      </c>
      <c r="V771" s="97">
        <f ca="1">VLOOKUP(14,R758:S781,2,0)</f>
        <v>0</v>
      </c>
      <c r="W771" s="95" t="str">
        <f t="shared" ca="1" si="295"/>
        <v/>
      </c>
      <c r="X771" s="95">
        <f ca="1">IF(F$15=0,IF(AND(G771=G823,NOT(G771=G797),NOT(G771=G849),LEN(W771)&gt;0),2,IF(LEN(W771)=0,0,1)),0)</f>
        <v>0</v>
      </c>
      <c r="Y771" s="95" t="str">
        <f t="shared" ca="1" si="296"/>
        <v xml:space="preserve"> 0-0</v>
      </c>
      <c r="Z771" s="95" t="str">
        <f t="shared" ca="1" si="297"/>
        <v xml:space="preserve"> 0-0</v>
      </c>
      <c r="AA771" s="95" t="str">
        <f t="shared" ca="1" si="298"/>
        <v xml:space="preserve"> 0-0</v>
      </c>
      <c r="AB771" s="95" t="str">
        <f t="shared" ca="1" si="299"/>
        <v xml:space="preserve"> 0-0</v>
      </c>
      <c r="AC771" s="95" t="str">
        <f ca="1">IF(AND(LEN(W771)&gt;0,F$15=0),IF(X771=2,W771&amp;" +2, ",W771&amp;", "),"")</f>
        <v/>
      </c>
    </row>
    <row r="772" spans="1:29">
      <c r="A772" s="95">
        <v>15</v>
      </c>
      <c r="B772" s="95">
        <f ca="1">IF(Doubles!N105="",0,Doubles!N105)</f>
        <v>0</v>
      </c>
      <c r="C772" s="99" t="str">
        <f ca="1">IF(OR(LEFT(B772,LEN(B$16))=B$16,LEFT(B772,LEN(C$16))=C$16,LEN(B772)&lt;2),"",IF(B772="no pick","","Wrong pick"))</f>
        <v/>
      </c>
      <c r="D772" s="95">
        <f t="shared" ca="1" si="286"/>
        <v>0</v>
      </c>
      <c r="E772" s="95">
        <f t="shared" ca="1" si="287"/>
        <v>1</v>
      </c>
      <c r="G772" s="95" t="str">
        <f ca="1">IF(B772=0,"",IF(B772="no pick","No Pick",IF(LEFT(B772,LEN(B$16))=B$16,B$16,C$16)))</f>
        <v/>
      </c>
      <c r="H772" s="95" t="str">
        <f t="shared" ca="1" si="288"/>
        <v>0-0</v>
      </c>
      <c r="I772" s="95" t="str">
        <f ca="1">IF(AND(J772=$I$2,F$16=0,NOT(E$16="")),IF(OR(AND(Y772=AA772,Z772=AB772),AND(Y772=AB772,Z772=AA772)),"",IF(AND(Y772=Z772,AA772=AB772),Y772&amp;" +2 v. "&amp;AA772&amp;" +2, ",IF(Y772=AA772,Z772&amp;" v. "&amp;AB772&amp;", ",IF(Z772=AB772,Y772&amp;" v. "&amp;AA772&amp;", ",IF(Y772=AB772,Z772&amp;" v. "&amp;AA772&amp;", ",IF(Z772=AA772,Y772&amp;" v. "&amp;AB772&amp;", ",Y772&amp;" v. "&amp;AA772&amp;", "&amp;Z772&amp;" v. "&amp;AB772&amp;", ")))))),"")</f>
        <v/>
      </c>
      <c r="J772" s="97">
        <f>D$16</f>
        <v>1</v>
      </c>
      <c r="K772" s="95" t="str">
        <f t="shared" ca="1" si="289"/>
        <v>SR</v>
      </c>
      <c r="L772" s="95" t="str">
        <f t="shared" ca="1" si="290"/>
        <v>0</v>
      </c>
      <c r="M772" s="95" t="str">
        <f t="shared" ca="1" si="291"/>
        <v>0</v>
      </c>
      <c r="N772" s="95" t="str">
        <f t="shared" ca="1" si="292"/>
        <v>0</v>
      </c>
      <c r="O772" s="95" t="str">
        <f t="shared" ca="1" si="293"/>
        <v>0</v>
      </c>
      <c r="P772" s="95" t="str">
        <f t="shared" ca="1" si="294"/>
        <v>0</v>
      </c>
      <c r="Q772" s="95">
        <f ca="1">IF(AND(G772=T$16,LEN(G772)&gt;1),1,0)</f>
        <v>0</v>
      </c>
      <c r="R772" s="97">
        <f>Doubles!G$16</f>
        <v>15</v>
      </c>
      <c r="S772" s="95">
        <f ca="1">IF(AND(H772=H$16,LEN(H772)&gt;1,Q772=1),1,0)</f>
        <v>0</v>
      </c>
      <c r="T772" s="95" t="s">
        <v>128</v>
      </c>
      <c r="U772" s="95" t="e">
        <f ca="1">IF(T767&lt;10,"0","")&amp;T767&amp;":"&amp;IF(T768&lt;10,"0","")&amp;T768&amp;" | "&amp;IF(AND(A757&gt;0,A757&lt;33,B757&amp;"/"&amp;B809=U771),"[b][color=Blue]"&amp;T757&amp;"/"&amp;T809&amp;" ("&amp;D757&amp;"/"&amp;D809&amp;")[/color][/b]",IF(B757&amp;"/"&amp;B809=U771,"[color=Blue]"&amp;T757&amp;"/"&amp;T809&amp;" ("&amp;D757&amp;"/"&amp;D809&amp;")[/color]",IF(AND(A757&gt;0,A757&lt;33),"[b]"&amp;T757&amp;"/"&amp;T809&amp;" ("&amp;D757&amp;"/"&amp;D809&amp;")[/b]",T757&amp;"/"&amp;T809&amp;IF(LEN(D757)&gt;1," ("&amp;D757&amp;"/"&amp;D809&amp;")",""))))&amp;" vs. "&amp;IF(AND(A783&gt;0,A783&lt;33,B783&amp;"/"&amp;B835=U771),"[b][color=Blue]"&amp;T783&amp;"/"&amp;T835&amp;" ("&amp;D783&amp;"/"&amp;D835&amp;")[/color][/b]",IF(B783&amp;"/"&amp;B835=U771,"[color=Blue]"&amp;T783&amp;"/"&amp;T835&amp;" ("&amp;D783&amp;"/"&amp;D835&amp;")[/color]",IF(AND(A783&gt;0,A783&lt;33),"[b]"&amp;T783&amp;"/"&amp;T835&amp;" ("&amp;D783&amp;"/"&amp;D835&amp;")[/b]",T783&amp;"/"&amp;T835&amp;IF(LEN(D783)&gt;1," ("&amp;D783&amp;"/"&amp;D835&amp;")",""))))&amp;IF(OR(Doubles!$D$25="yes",T767=T768)," #SRs: "&amp;U767&amp;"-"&amp;U768,"")</f>
        <v>#N/A</v>
      </c>
      <c r="V772" s="97">
        <f ca="1">VLOOKUP(15,R758:S781,2,0)</f>
        <v>0</v>
      </c>
      <c r="W772" s="95" t="str">
        <f t="shared" ca="1" si="295"/>
        <v/>
      </c>
      <c r="X772" s="95">
        <f ca="1">IF(F$16=0,IF(AND(G772=G824,NOT(G772=G798),NOT(G772=G850),LEN(W772)&gt;0),2,IF(LEN(W772)=0,0,1)),0)</f>
        <v>0</v>
      </c>
      <c r="Y772" s="95" t="str">
        <f t="shared" ca="1" si="296"/>
        <v xml:space="preserve"> 0-0</v>
      </c>
      <c r="Z772" s="95" t="str">
        <f t="shared" ca="1" si="297"/>
        <v xml:space="preserve"> 0-0</v>
      </c>
      <c r="AA772" s="95" t="str">
        <f t="shared" ca="1" si="298"/>
        <v xml:space="preserve"> 0-0</v>
      </c>
      <c r="AB772" s="95" t="str">
        <f t="shared" ca="1" si="299"/>
        <v xml:space="preserve"> 0-0</v>
      </c>
      <c r="AC772" s="95" t="str">
        <f ca="1">IF(AND(LEN(W772)&gt;0,F$16=0),IF(X772=2,W772&amp;" +2, ",W772&amp;", "),"")</f>
        <v/>
      </c>
    </row>
    <row r="773" spans="1:29">
      <c r="A773" s="95">
        <v>16</v>
      </c>
      <c r="B773" s="95">
        <f ca="1">IF(Doubles!N106="",0,Doubles!N106)</f>
        <v>0</v>
      </c>
      <c r="C773" s="99" t="str">
        <f ca="1">IF(OR(LEFT(B773,LEN(B$17))=B$17,LEFT(B773,LEN(C$17))=C$17,LEN(B773)&lt;2),"",IF(B773="no pick","","Wrong pick"))</f>
        <v/>
      </c>
      <c r="D773" s="95">
        <f t="shared" ca="1" si="286"/>
        <v>0</v>
      </c>
      <c r="E773" s="95">
        <f t="shared" ca="1" si="287"/>
        <v>1</v>
      </c>
      <c r="G773" s="95" t="str">
        <f ca="1">IF(B773=0,"",IF(B773="no pick","No Pick",IF(LEFT(B773,LEN(B$17))=B$17,B$17,C$17)))</f>
        <v/>
      </c>
      <c r="H773" s="95" t="str">
        <f t="shared" ca="1" si="288"/>
        <v>0-0</v>
      </c>
      <c r="I773" s="95" t="str">
        <f ca="1">IF(AND(J773=$I$2,F$17=0,NOT(E$17="")),IF(OR(AND(Y773=AA773,Z773=AB773),AND(Y773=AB773,Z773=AA773)),"",IF(AND(Y773=Z773,AA773=AB773),Y773&amp;" +2 v. "&amp;AA773&amp;" +2, ",IF(Y773=AA773,Z773&amp;" v. "&amp;AB773&amp;", ",IF(Z773=AB773,Y773&amp;" v. "&amp;AA773&amp;", ",IF(Y773=AB773,Z773&amp;" v. "&amp;AA773&amp;", ",IF(Z773=AA773,Y773&amp;" v. "&amp;AB773&amp;", ",Y773&amp;" v. "&amp;AA773&amp;", "&amp;Z773&amp;" v. "&amp;AB773&amp;", ")))))),"")</f>
        <v/>
      </c>
      <c r="J773" s="97">
        <f>D$17</f>
        <v>1</v>
      </c>
      <c r="K773" s="95" t="str">
        <f t="shared" ca="1" si="289"/>
        <v>SR</v>
      </c>
      <c r="L773" s="95" t="str">
        <f t="shared" ca="1" si="290"/>
        <v>0</v>
      </c>
      <c r="M773" s="95" t="str">
        <f t="shared" ca="1" si="291"/>
        <v>0</v>
      </c>
      <c r="N773" s="95" t="str">
        <f t="shared" ca="1" si="292"/>
        <v>0</v>
      </c>
      <c r="O773" s="95" t="str">
        <f t="shared" ca="1" si="293"/>
        <v>0</v>
      </c>
      <c r="P773" s="95" t="str">
        <f t="shared" ca="1" si="294"/>
        <v>0</v>
      </c>
      <c r="Q773" s="95">
        <f ca="1">IF(AND(G773=T$17,LEN(G773)&gt;1),1,0)</f>
        <v>0</v>
      </c>
      <c r="R773" s="97">
        <f>Doubles!G$17</f>
        <v>16</v>
      </c>
      <c r="S773" s="95">
        <f ca="1">IF(AND(H773=H$17,LEN(H773)&gt;1,Q773=1),1,0)</f>
        <v>0</v>
      </c>
      <c r="V773" s="97">
        <f ca="1">VLOOKUP(16,R758:S781,2,0)</f>
        <v>0</v>
      </c>
      <c r="W773" s="95" t="str">
        <f t="shared" ca="1" si="295"/>
        <v/>
      </c>
      <c r="X773" s="95">
        <f ca="1">IF(F$17=0,IF(AND(G773=G825,NOT(G773=G799),NOT(G773=G851),LEN(W773)&gt;0),2,IF(LEN(W773)=0,0,1)),0)</f>
        <v>0</v>
      </c>
      <c r="Y773" s="95" t="str">
        <f t="shared" ca="1" si="296"/>
        <v xml:space="preserve"> 0-0</v>
      </c>
      <c r="Z773" s="95" t="str">
        <f t="shared" ca="1" si="297"/>
        <v xml:space="preserve"> 0-0</v>
      </c>
      <c r="AA773" s="95" t="str">
        <f t="shared" ca="1" si="298"/>
        <v xml:space="preserve"> 0-0</v>
      </c>
      <c r="AB773" s="95" t="str">
        <f t="shared" ca="1" si="299"/>
        <v xml:space="preserve"> 0-0</v>
      </c>
      <c r="AC773" s="95" t="str">
        <f ca="1">IF(AND(LEN(W773)&gt;0,F$17=0),IF(X773=2,W773&amp;" +2, ",W773&amp;", "),"")</f>
        <v/>
      </c>
    </row>
    <row r="774" spans="1:29">
      <c r="A774" s="95">
        <v>17</v>
      </c>
      <c r="B774" s="95">
        <f>IF(Doubles!N107="",0,Doubles!N107)</f>
        <v>0</v>
      </c>
      <c r="C774" s="99" t="str">
        <f>IF(OR(LEFT(B774,LEN(B$18))=B$18,LEFT(B774,LEN(C$18))=C$18,LEN(B774)&lt;2),"",IF(B774="no pick","","Wrong pick"))</f>
        <v/>
      </c>
      <c r="D774" s="95">
        <f t="shared" si="286"/>
        <v>0</v>
      </c>
      <c r="E774" s="95">
        <f t="shared" si="287"/>
        <v>0</v>
      </c>
      <c r="G774" s="95" t="str">
        <f>IF(B774=0,"",IF(B774="no pick","No Pick",IF(LEFT(B774,LEN(B$18))=B$18,B$18,C$18)))</f>
        <v/>
      </c>
      <c r="H774" s="95" t="str">
        <f t="shared" si="288"/>
        <v>0-0</v>
      </c>
      <c r="I774" s="95" t="str">
        <f>IF(AND(J774=$I$2,F$18=0,NOT(E$18="")),IF(OR(AND(Y774=AA774,Z774=AB774),AND(Y774=AB774,Z774=AA774)),"",IF(AND(Y774=Z774,AA774=AB774),Y774&amp;" +2 v. "&amp;AA774&amp;" +2, ",IF(Y774=AA774,Z774&amp;" v. "&amp;AB774&amp;", ",IF(Z774=AB774,Y774&amp;" v. "&amp;AA774&amp;", ",IF(Y774=AB774,Z774&amp;" v. "&amp;AA774&amp;", ",IF(Z774=AA774,Y774&amp;" v. "&amp;AB774&amp;", ",Y774&amp;" v. "&amp;AA774&amp;", "&amp;Z774&amp;" v. "&amp;AB774&amp;", ")))))),"")</f>
        <v/>
      </c>
      <c r="J774" s="95">
        <f>D$18</f>
        <v>0</v>
      </c>
      <c r="K774" s="95" t="str">
        <f t="shared" si="289"/>
        <v>SR</v>
      </c>
      <c r="L774" s="95" t="str">
        <f t="shared" si="290"/>
        <v>0</v>
      </c>
      <c r="M774" s="95" t="str">
        <f t="shared" si="291"/>
        <v>0</v>
      </c>
      <c r="N774" s="95" t="str">
        <f t="shared" si="292"/>
        <v>0</v>
      </c>
      <c r="O774" s="95" t="str">
        <f t="shared" si="293"/>
        <v>0</v>
      </c>
      <c r="P774" s="95" t="str">
        <f t="shared" si="294"/>
        <v>0</v>
      </c>
      <c r="Q774" s="95">
        <f>IF(AND(G774=T$18,LEN(G774)&gt;1),1,0)</f>
        <v>0</v>
      </c>
      <c r="R774" s="97">
        <f>Doubles!G$18</f>
        <v>17</v>
      </c>
      <c r="S774" s="95">
        <f>IF(AND(H774=H$18,LEN(H774)&gt;1,Q774=1),1,0)</f>
        <v>0</v>
      </c>
      <c r="T774" s="95" t="str">
        <f>IF(Doubles!$D$22=$F$26,IF(T767&gt;T768,B757,IF(T767&lt;T768,B783,IF(U767&gt;U768,B757,IF(U767&lt;U768,B783,"")))),"")</f>
        <v/>
      </c>
      <c r="U774" s="95" t="str">
        <f>IF(Doubles!$D$22=$F$26,IF(T767&gt;T768,B809,IF(T767&lt;T768,B835,IF(U767&gt;U768,B809,IF(U767&lt;U768,B835,"")))),"")</f>
        <v/>
      </c>
      <c r="V774" s="95">
        <f>VLOOKUP(17,R758:S781,2,0)</f>
        <v>0</v>
      </c>
      <c r="W774" s="95" t="str">
        <f t="shared" si="295"/>
        <v/>
      </c>
      <c r="X774" s="95">
        <f>IF(F$18=0,IF(AND(G774=G826,NOT(G774=G800),NOT(G774=G852),LEN(W774)&gt;0),2,IF(LEN(W774)=0,0,1)),0)</f>
        <v>0</v>
      </c>
      <c r="Y774" s="95" t="str">
        <f t="shared" si="296"/>
        <v xml:space="preserve"> 0-0</v>
      </c>
      <c r="Z774" s="95" t="str">
        <f t="shared" si="297"/>
        <v xml:space="preserve"> 0-0</v>
      </c>
      <c r="AA774" s="95" t="str">
        <f t="shared" si="298"/>
        <v xml:space="preserve"> 0-0</v>
      </c>
      <c r="AB774" s="95" t="str">
        <f t="shared" si="299"/>
        <v xml:space="preserve"> 0-0</v>
      </c>
      <c r="AC774" s="95" t="str">
        <f>IF(AND(LEN(W774)&gt;0,F$18=0),IF(X774=2,W774&amp;" +2, ",W774&amp;", "),"")</f>
        <v/>
      </c>
    </row>
    <row r="775" spans="1:29">
      <c r="A775" s="95">
        <v>18</v>
      </c>
      <c r="B775" s="95">
        <f>IF(Doubles!N108="",0,Doubles!N108)</f>
        <v>0</v>
      </c>
      <c r="C775" s="99" t="str">
        <f>IF(OR(LEFT(B775,LEN(B$19))=B$19,LEFT(B775,LEN(C$19))=C$19,LEN(B775)&lt;2),"",IF(B775="no pick","","Wrong pick"))</f>
        <v/>
      </c>
      <c r="D775" s="95">
        <f t="shared" si="286"/>
        <v>0</v>
      </c>
      <c r="E775" s="95">
        <f t="shared" si="287"/>
        <v>0</v>
      </c>
      <c r="G775" s="95" t="str">
        <f>IF(B775=0,"",IF(B775="no pick","No Pick",IF(LEFT(B775,LEN(B$19))=B$19,B$19,C$19)))</f>
        <v/>
      </c>
      <c r="H775" s="95" t="str">
        <f t="shared" si="288"/>
        <v>0-0</v>
      </c>
      <c r="I775" s="95" t="str">
        <f>IF(AND(J775=$I$2,F$19=0,NOT(E$19="")),IF(OR(AND(Y775=AA775,Z775=AB775),AND(Y775=AB775,Z775=AA775)),"",IF(AND(Y775=Z775,AA775=AB775),Y775&amp;" +2 v. "&amp;AA775&amp;" +2, ",IF(Y775=AA775,Z775&amp;" v. "&amp;AB775&amp;", ",IF(Z775=AB775,Y775&amp;" v. "&amp;AA775&amp;", ",IF(Y775=AB775,Z775&amp;" v. "&amp;AA775&amp;", ",IF(Z775=AA775,Y775&amp;" v. "&amp;AB775&amp;", ",Y775&amp;" v. "&amp;AA775&amp;", "&amp;Z775&amp;" v. "&amp;AB775&amp;", ")))))),"")</f>
        <v/>
      </c>
      <c r="J775" s="95">
        <f>D$19</f>
        <v>0</v>
      </c>
      <c r="K775" s="95" t="str">
        <f t="shared" si="289"/>
        <v>SR</v>
      </c>
      <c r="L775" s="95" t="str">
        <f t="shared" si="290"/>
        <v>0</v>
      </c>
      <c r="M775" s="95" t="str">
        <f t="shared" si="291"/>
        <v>0</v>
      </c>
      <c r="N775" s="95" t="str">
        <f t="shared" si="292"/>
        <v>0</v>
      </c>
      <c r="O775" s="95" t="str">
        <f t="shared" si="293"/>
        <v>0</v>
      </c>
      <c r="P775" s="95" t="str">
        <f t="shared" si="294"/>
        <v>0</v>
      </c>
      <c r="Q775" s="95">
        <f>IF(AND(G775=T$19,LEN(G775)&gt;1),1,0)</f>
        <v>0</v>
      </c>
      <c r="R775" s="97">
        <f>Doubles!G$19</f>
        <v>18</v>
      </c>
      <c r="S775" s="95">
        <f>IF(AND(H775=H$19,LEN(H775)&gt;1,Q775=1),1,0)</f>
        <v>0</v>
      </c>
      <c r="V775" s="97">
        <f>VLOOKUP(18,R758:S781,2,0)</f>
        <v>0</v>
      </c>
      <c r="W775" s="95" t="str">
        <f t="shared" si="295"/>
        <v/>
      </c>
      <c r="X775" s="95">
        <f>IF(F$19=0,IF(AND(G775=G827,NOT(G775=G801),NOT(G775=G853),LEN(W775)&gt;0),2,IF(LEN(W775)=0,0,1)),0)</f>
        <v>0</v>
      </c>
      <c r="Y775" s="95" t="str">
        <f t="shared" si="296"/>
        <v xml:space="preserve"> 0-0</v>
      </c>
      <c r="Z775" s="95" t="str">
        <f t="shared" si="297"/>
        <v xml:space="preserve"> 0-0</v>
      </c>
      <c r="AA775" s="95" t="str">
        <f t="shared" si="298"/>
        <v xml:space="preserve"> 0-0</v>
      </c>
      <c r="AB775" s="95" t="str">
        <f t="shared" si="299"/>
        <v xml:space="preserve"> 0-0</v>
      </c>
      <c r="AC775" s="95" t="str">
        <f>IF(AND(LEN(W775)&gt;0,F$19=0),IF(X775=2,W775&amp;" +2, ",W775&amp;", "),"")</f>
        <v/>
      </c>
    </row>
    <row r="776" spans="1:29">
      <c r="A776" s="95">
        <v>19</v>
      </c>
      <c r="B776" s="95">
        <f>IF(Doubles!N109="",0,Doubles!N109)</f>
        <v>0</v>
      </c>
      <c r="C776" s="99" t="str">
        <f>IF(OR(LEFT(B776,LEN(B$20))=B$20,LEFT(B776,LEN(C$20))=C$20,LEN(B776)&lt;2),"",IF(B776="no pick","","Wrong pick"))</f>
        <v/>
      </c>
      <c r="D776" s="95">
        <f t="shared" si="286"/>
        <v>0</v>
      </c>
      <c r="E776" s="95">
        <f t="shared" si="287"/>
        <v>0</v>
      </c>
      <c r="G776" s="95" t="str">
        <f>IF(B776=0,"",IF(B776="no pick","No Pick",IF(LEFT(B776,LEN(B$20))=B$20,B$20,C$20)))</f>
        <v/>
      </c>
      <c r="H776" s="95" t="str">
        <f t="shared" si="288"/>
        <v>0-0</v>
      </c>
      <c r="I776" s="95" t="str">
        <f>IF(AND(J776=$I$2,F$20=0,NOT(E$20="")),IF(OR(AND(Y776=AA776,Z776=AB776),AND(Y776=AB776,Z776=AA776)),"",IF(AND(Y776=Z776,AA776=AB776),Y776&amp;" +2 v. "&amp;AA776&amp;" +2, ",IF(Y776=AA776,Z776&amp;" v. "&amp;AB776&amp;", ",IF(Z776=AB776,Y776&amp;" v. "&amp;AA776&amp;", ",IF(Y776=AB776,Z776&amp;" v. "&amp;AA776&amp;", ",IF(Z776=AA776,Y776&amp;" v. "&amp;AB776&amp;", ",Y776&amp;" v. "&amp;AA776&amp;", "&amp;Z776&amp;" v. "&amp;AB776&amp;", ")))))),"")</f>
        <v/>
      </c>
      <c r="J776" s="95">
        <f>D$20</f>
        <v>0</v>
      </c>
      <c r="K776" s="95" t="str">
        <f t="shared" si="289"/>
        <v>SR</v>
      </c>
      <c r="L776" s="95" t="str">
        <f t="shared" si="290"/>
        <v>0</v>
      </c>
      <c r="M776" s="95" t="str">
        <f t="shared" si="291"/>
        <v>0</v>
      </c>
      <c r="N776" s="95" t="str">
        <f t="shared" si="292"/>
        <v>0</v>
      </c>
      <c r="O776" s="95" t="str">
        <f t="shared" si="293"/>
        <v>0</v>
      </c>
      <c r="P776" s="95" t="str">
        <f t="shared" si="294"/>
        <v>0</v>
      </c>
      <c r="Q776" s="95">
        <f>IF(AND(G776=T$20,LEN(G776)&gt;1),1,0)</f>
        <v>0</v>
      </c>
      <c r="R776" s="97">
        <f>Doubles!G$20</f>
        <v>19</v>
      </c>
      <c r="S776" s="95">
        <f>IF(AND(H776=H$20,LEN(H776)&gt;1,Q776=1),1,0)</f>
        <v>0</v>
      </c>
      <c r="V776" s="97">
        <f>VLOOKUP(19,R758:S781,2,0)</f>
        <v>0</v>
      </c>
      <c r="W776" s="95" t="str">
        <f t="shared" si="295"/>
        <v/>
      </c>
      <c r="X776" s="95">
        <f>IF(F$20=0,IF(AND(G776=G828,NOT(G776=G802),NOT(G776=G854),LEN(W776)&gt;0),2,IF(LEN(W776)=0,0,1)),0)</f>
        <v>0</v>
      </c>
      <c r="Y776" s="95" t="str">
        <f t="shared" si="296"/>
        <v xml:space="preserve"> 0-0</v>
      </c>
      <c r="Z776" s="95" t="str">
        <f t="shared" si="297"/>
        <v xml:space="preserve"> 0-0</v>
      </c>
      <c r="AA776" s="95" t="str">
        <f t="shared" si="298"/>
        <v xml:space="preserve"> 0-0</v>
      </c>
      <c r="AB776" s="95" t="str">
        <f t="shared" si="299"/>
        <v xml:space="preserve"> 0-0</v>
      </c>
      <c r="AC776" s="95" t="str">
        <f>IF(AND(LEN(W776)&gt;0,F$20=0),IF(X776=2,W776&amp;" +2, ",W776&amp;", "),"")</f>
        <v/>
      </c>
    </row>
    <row r="777" spans="1:29">
      <c r="A777" s="95">
        <v>20</v>
      </c>
      <c r="B777" s="95">
        <f>IF(Doubles!N110="",0,Doubles!N110)</f>
        <v>0</v>
      </c>
      <c r="C777" s="99" t="str">
        <f>IF(OR(LEFT(B777,LEN(B$21))=B$21,LEFT(B777,LEN(C$21))=C$21,LEN(B777)&lt;2),"",IF(B777="no pick","","Wrong pick"))</f>
        <v/>
      </c>
      <c r="D777" s="95">
        <f t="shared" si="286"/>
        <v>0</v>
      </c>
      <c r="E777" s="95">
        <f t="shared" si="287"/>
        <v>0</v>
      </c>
      <c r="G777" s="95" t="str">
        <f>IF(B777=0,"",IF(B777="no pick","No Pick",IF(LEFT(B777,LEN(B$21))=B$21,B$21,C$21)))</f>
        <v/>
      </c>
      <c r="H777" s="95" t="str">
        <f t="shared" si="288"/>
        <v>0-0</v>
      </c>
      <c r="I777" s="95" t="str">
        <f>IF(AND(J777=$I$2,F$21=0,NOT(E$21="")),IF(OR(AND(Y777=AA777,Z777=AB777),AND(Y777=AB777,Z777=AA777)),"",IF(AND(Y777=Z777,AA777=AB777),Y777&amp;" +2 v. "&amp;AA777&amp;" +2, ",IF(Y777=AA777,Z777&amp;" v. "&amp;AB777&amp;", ",IF(Z777=AB777,Y777&amp;" v. "&amp;AA777&amp;", ",IF(Y777=AB777,Z777&amp;" v. "&amp;AA777&amp;", ",IF(Z777=AA777,Y777&amp;" v. "&amp;AB777&amp;", ",Y777&amp;" v. "&amp;AA777&amp;", "&amp;Z777&amp;" v. "&amp;AB777&amp;", ")))))),"")</f>
        <v/>
      </c>
      <c r="J777" s="95">
        <f>D$21</f>
        <v>0</v>
      </c>
      <c r="K777" s="95" t="str">
        <f t="shared" si="289"/>
        <v>SR</v>
      </c>
      <c r="L777" s="95" t="str">
        <f t="shared" si="290"/>
        <v>0</v>
      </c>
      <c r="M777" s="95" t="str">
        <f t="shared" si="291"/>
        <v>0</v>
      </c>
      <c r="N777" s="95" t="str">
        <f t="shared" si="292"/>
        <v>0</v>
      </c>
      <c r="O777" s="95" t="str">
        <f t="shared" si="293"/>
        <v>0</v>
      </c>
      <c r="P777" s="95" t="str">
        <f t="shared" si="294"/>
        <v>0</v>
      </c>
      <c r="Q777" s="95">
        <f>IF(AND(G777=T$21,LEN(G777)&gt;1),1,0)</f>
        <v>0</v>
      </c>
      <c r="R777" s="97">
        <f>Doubles!G$21</f>
        <v>20</v>
      </c>
      <c r="S777" s="95">
        <f>IF(AND(H777=H$21,LEN(H777)&gt;1,Q777=1),1,0)</f>
        <v>0</v>
      </c>
      <c r="V777" s="97">
        <f>VLOOKUP(20,R758:S781,2,0)</f>
        <v>0</v>
      </c>
      <c r="W777" s="95" t="str">
        <f t="shared" si="295"/>
        <v/>
      </c>
      <c r="X777" s="95">
        <f>IF(F$21=0,IF(AND(G777=G829,NOT(G777=G803),NOT(G777=G855),LEN(W777)&gt;0),2,IF(LEN(W777)=0,0,1)),0)</f>
        <v>0</v>
      </c>
      <c r="Y777" s="95" t="str">
        <f t="shared" si="296"/>
        <v xml:space="preserve"> 0-0</v>
      </c>
      <c r="Z777" s="95" t="str">
        <f t="shared" si="297"/>
        <v xml:space="preserve"> 0-0</v>
      </c>
      <c r="AA777" s="95" t="str">
        <f t="shared" si="298"/>
        <v xml:space="preserve"> 0-0</v>
      </c>
      <c r="AB777" s="95" t="str">
        <f t="shared" si="299"/>
        <v xml:space="preserve"> 0-0</v>
      </c>
      <c r="AC777" s="95" t="str">
        <f>IF(AND(LEN(W777)&gt;0,F$21=0),IF(X777=2,W777&amp;" +2, ",W777&amp;", "),"")</f>
        <v/>
      </c>
    </row>
    <row r="778" spans="1:29">
      <c r="A778" s="95">
        <v>21</v>
      </c>
      <c r="B778" s="95">
        <f>IF(Doubles!N111="",0,Doubles!N111)</f>
        <v>0</v>
      </c>
      <c r="C778" s="99" t="str">
        <f>IF(OR(LEFT(B778,LEN(B$22))=B$22,LEFT(B778,LEN(C$22))=C$22,LEN(B778)&lt;2),"",IF(B778="no pick","","Wrong pick"))</f>
        <v/>
      </c>
      <c r="D778" s="95">
        <f t="shared" si="286"/>
        <v>0</v>
      </c>
      <c r="E778" s="95">
        <f t="shared" si="287"/>
        <v>0</v>
      </c>
      <c r="G778" s="95" t="str">
        <f>IF(B778=0,"",IF(B778="no pick","No Pick",IF(LEFT(B778,LEN(B$22))=B$22,B$22,C$22)))</f>
        <v/>
      </c>
      <c r="H778" s="95" t="str">
        <f t="shared" si="288"/>
        <v>0-0</v>
      </c>
      <c r="I778" s="95" t="str">
        <f>IF(AND(J778=$I$2,F$22=0,NOT(E$22="")),IF(OR(AND(Y778=AA778,Z778=AB778),AND(Y778=AB778,Z778=AA778)),"",IF(AND(Y778=Z778,AA778=AB778),Y778&amp;" +2 v. "&amp;AA778&amp;" +2, ",IF(Y778=AA778,Z778&amp;" v. "&amp;AB778&amp;", ",IF(Z778=AB778,Y778&amp;" v. "&amp;AA778&amp;", ",IF(Y778=AB778,Z778&amp;" v. "&amp;AA778&amp;", ",IF(Z778=AA778,Y778&amp;" v. "&amp;AB778&amp;", ",Y778&amp;" v. "&amp;AA778&amp;", "&amp;Z778&amp;" v. "&amp;AB778&amp;", ")))))),"")</f>
        <v/>
      </c>
      <c r="J778" s="95">
        <f>D$22</f>
        <v>0</v>
      </c>
      <c r="K778" s="95" t="str">
        <f t="shared" si="289"/>
        <v>SR</v>
      </c>
      <c r="L778" s="95" t="str">
        <f t="shared" si="290"/>
        <v>0</v>
      </c>
      <c r="M778" s="95" t="str">
        <f t="shared" si="291"/>
        <v>0</v>
      </c>
      <c r="N778" s="95" t="str">
        <f t="shared" si="292"/>
        <v>0</v>
      </c>
      <c r="O778" s="95" t="str">
        <f t="shared" si="293"/>
        <v>0</v>
      </c>
      <c r="P778" s="95" t="str">
        <f t="shared" si="294"/>
        <v>0</v>
      </c>
      <c r="Q778" s="95">
        <f>IF(AND(G778=T$22,LEN(G778)&gt;1),1,0)</f>
        <v>0</v>
      </c>
      <c r="R778" s="97">
        <f>Doubles!G$22</f>
        <v>21</v>
      </c>
      <c r="S778" s="95">
        <f>IF(AND(H778=H$22,LEN(H778)&gt;1,Q778=1),1,0)</f>
        <v>0</v>
      </c>
      <c r="V778" s="97">
        <f>VLOOKUP(21,R758:S781,2,0)</f>
        <v>0</v>
      </c>
      <c r="W778" s="95" t="str">
        <f t="shared" si="295"/>
        <v/>
      </c>
      <c r="X778" s="95">
        <f>IF(F$22=0,IF(AND(G778=G830,NOT(G778=G804),NOT(G778=G856),LEN(W778)&gt;0),2,IF(LEN(W778)=0,0,1)),0)</f>
        <v>0</v>
      </c>
      <c r="Y778" s="95" t="str">
        <f t="shared" si="296"/>
        <v xml:space="preserve"> 0-0</v>
      </c>
      <c r="Z778" s="95" t="str">
        <f t="shared" si="297"/>
        <v xml:space="preserve"> 0-0</v>
      </c>
      <c r="AA778" s="95" t="str">
        <f t="shared" si="298"/>
        <v xml:space="preserve"> 0-0</v>
      </c>
      <c r="AB778" s="95" t="str">
        <f t="shared" si="299"/>
        <v xml:space="preserve"> 0-0</v>
      </c>
      <c r="AC778" s="95" t="str">
        <f>IF(AND(LEN(W778)&gt;0,F$22=0),IF(X778=2,W778&amp;" +2, ",W778&amp;", "),"")</f>
        <v/>
      </c>
    </row>
    <row r="779" spans="1:29">
      <c r="A779" s="95">
        <v>22</v>
      </c>
      <c r="B779" s="95">
        <f>IF(Doubles!N112="",0,Doubles!N112)</f>
        <v>0</v>
      </c>
      <c r="C779" s="99" t="str">
        <f>IF(OR(LEFT(B779,LEN(B$23))=B$23,LEFT(B779,LEN(C$23))=C$23,LEN(B779)&lt;2),"",IF(B779="no pick","","Wrong pick"))</f>
        <v/>
      </c>
      <c r="D779" s="95">
        <f t="shared" si="286"/>
        <v>0</v>
      </c>
      <c r="E779" s="95">
        <f t="shared" si="287"/>
        <v>0</v>
      </c>
      <c r="G779" s="95" t="str">
        <f>IF(B779=0,"",IF(B779="no pick","No Pick",IF(LEFT(B779,LEN(B$23))=B$23,B$23,C$23)))</f>
        <v/>
      </c>
      <c r="H779" s="95" t="str">
        <f t="shared" si="288"/>
        <v>0-0</v>
      </c>
      <c r="I779" s="95" t="str">
        <f>IF(AND(J779=$I$2,F$23=0,NOT(E$23="")),IF(OR(AND(Y779=AA779,Z779=AB779),AND(Y779=AB779,Z779=AA779)),"",IF(AND(Y779=Z779,AA779=AB779),Y779&amp;" +2 v. "&amp;AA779&amp;" +2, ",IF(Y779=AA779,Z779&amp;" v. "&amp;AB779&amp;", ",IF(Z779=AB779,Y779&amp;" v. "&amp;AA779&amp;", ",IF(Y779=AB779,Z779&amp;" v. "&amp;AA779&amp;", ",IF(Z779=AA779,Y779&amp;" v. "&amp;AB779&amp;", ",Y779&amp;" v. "&amp;AA779&amp;", "&amp;Z779&amp;" v. "&amp;AB779&amp;", ")))))),"")</f>
        <v/>
      </c>
      <c r="J779" s="95">
        <f>D$23</f>
        <v>0</v>
      </c>
      <c r="K779" s="95" t="str">
        <f t="shared" si="289"/>
        <v>SR</v>
      </c>
      <c r="L779" s="95" t="str">
        <f t="shared" si="290"/>
        <v>0</v>
      </c>
      <c r="M779" s="95" t="str">
        <f t="shared" si="291"/>
        <v>0</v>
      </c>
      <c r="N779" s="95" t="str">
        <f t="shared" si="292"/>
        <v>0</v>
      </c>
      <c r="O779" s="95" t="str">
        <f t="shared" si="293"/>
        <v>0</v>
      </c>
      <c r="P779" s="95" t="str">
        <f t="shared" si="294"/>
        <v>0</v>
      </c>
      <c r="Q779" s="95">
        <f>IF(AND(G779=T$23,LEN(G779)&gt;1),1,0)</f>
        <v>0</v>
      </c>
      <c r="R779" s="97">
        <f>Doubles!G$23</f>
        <v>22</v>
      </c>
      <c r="S779" s="95">
        <f>IF(AND(H779=H$23,LEN(H779)&gt;1,Q779=1),1,0)</f>
        <v>0</v>
      </c>
      <c r="V779" s="97">
        <f>VLOOKUP(22,R758:S781,2,0)</f>
        <v>0</v>
      </c>
      <c r="W779" s="95" t="str">
        <f t="shared" si="295"/>
        <v/>
      </c>
      <c r="X779" s="95">
        <f>IF(F$23=0,IF(AND(G779=G831,NOT(G779=G805),NOT(G779=G857),LEN(W779)&gt;0),2,IF(LEN(W779)=0,0,1)),0)</f>
        <v>0</v>
      </c>
      <c r="Y779" s="95" t="str">
        <f t="shared" si="296"/>
        <v xml:space="preserve"> 0-0</v>
      </c>
      <c r="Z779" s="95" t="str">
        <f t="shared" si="297"/>
        <v xml:space="preserve"> 0-0</v>
      </c>
      <c r="AA779" s="95" t="str">
        <f t="shared" si="298"/>
        <v xml:space="preserve"> 0-0</v>
      </c>
      <c r="AB779" s="95" t="str">
        <f t="shared" si="299"/>
        <v xml:space="preserve"> 0-0</v>
      </c>
      <c r="AC779" s="95" t="str">
        <f>IF(AND(LEN(W779)&gt;0,F$23=0),IF(X779=2,W779&amp;" +2, ",W779&amp;", "),"")</f>
        <v/>
      </c>
    </row>
    <row r="780" spans="1:29">
      <c r="A780" s="95">
        <v>23</v>
      </c>
      <c r="B780" s="95">
        <f>IF(Doubles!N113="",0,Doubles!N113)</f>
        <v>0</v>
      </c>
      <c r="C780" s="99" t="str">
        <f>IF(OR(LEFT(B780,LEN(B$24))=B$24,LEFT(B780,LEN(C$24))=C$24,LEN(B780)&lt;2),"",IF(B780="no pick","","Wrong pick"))</f>
        <v/>
      </c>
      <c r="D780" s="95">
        <f t="shared" si="286"/>
        <v>0</v>
      </c>
      <c r="E780" s="95">
        <f t="shared" si="287"/>
        <v>0</v>
      </c>
      <c r="G780" s="95" t="str">
        <f>IF(B780=0,"",IF(B780="no pick","No Pick",IF(LEFT(B780,LEN(B$24))=B$24,B$24,C$24)))</f>
        <v/>
      </c>
      <c r="H780" s="95" t="str">
        <f t="shared" si="288"/>
        <v>0-0</v>
      </c>
      <c r="I780" s="95" t="str">
        <f>IF(AND(J780=$I$2,F$24=0,NOT(E$24="")),IF(OR(AND(Y780=AA780,Z780=AB780),AND(Y780=AB780,Z780=AA780)),"",IF(AND(Y780=Z780,AA780=AB780),Y780&amp;" +2 v. "&amp;AA780&amp;" +2, ",IF(Y780=AA780,Z780&amp;" v. "&amp;AB780&amp;", ",IF(Z780=AB780,Y780&amp;" v. "&amp;AA780&amp;", ",IF(Y780=AB780,Z780&amp;" v. "&amp;AA780&amp;", ",IF(Z780=AA780,Y780&amp;" v. "&amp;AB780&amp;", ",Y780&amp;" v. "&amp;AA780&amp;", "&amp;Z780&amp;" v. "&amp;AB780&amp;", ")))))),"")</f>
        <v/>
      </c>
      <c r="J780" s="95">
        <f>D$24</f>
        <v>0</v>
      </c>
      <c r="K780" s="95" t="str">
        <f t="shared" si="289"/>
        <v>SR</v>
      </c>
      <c r="L780" s="95" t="str">
        <f t="shared" si="290"/>
        <v>0</v>
      </c>
      <c r="M780" s="95" t="str">
        <f t="shared" si="291"/>
        <v>0</v>
      </c>
      <c r="N780" s="95" t="str">
        <f t="shared" si="292"/>
        <v>0</v>
      </c>
      <c r="O780" s="95" t="str">
        <f t="shared" si="293"/>
        <v>0</v>
      </c>
      <c r="P780" s="95" t="str">
        <f t="shared" si="294"/>
        <v>0</v>
      </c>
      <c r="Q780" s="95">
        <f>IF(AND(G780=T$24,LEN(G780)&gt;1),1,0)</f>
        <v>0</v>
      </c>
      <c r="R780" s="97">
        <f>Doubles!G$24</f>
        <v>23</v>
      </c>
      <c r="S780" s="95">
        <f>IF(AND(H780=H$24,LEN(H780)&gt;1,Q780=1),1,0)</f>
        <v>0</v>
      </c>
      <c r="V780" s="97">
        <f>VLOOKUP(23,R758:S781,2,0)</f>
        <v>0</v>
      </c>
      <c r="W780" s="95" t="str">
        <f t="shared" si="295"/>
        <v/>
      </c>
      <c r="X780" s="95">
        <f>IF(F$24=0,IF(AND(G780=G832,NOT(G780=G806),NOT(G780=G858),LEN(W780)&gt;0),2,IF(LEN(W780)=0,0,1)),0)</f>
        <v>0</v>
      </c>
      <c r="Y780" s="95" t="str">
        <f t="shared" si="296"/>
        <v xml:space="preserve"> 0-0</v>
      </c>
      <c r="Z780" s="95" t="str">
        <f t="shared" si="297"/>
        <v xml:space="preserve"> 0-0</v>
      </c>
      <c r="AA780" s="95" t="str">
        <f t="shared" si="298"/>
        <v xml:space="preserve"> 0-0</v>
      </c>
      <c r="AB780" s="95" t="str">
        <f t="shared" si="299"/>
        <v xml:space="preserve"> 0-0</v>
      </c>
      <c r="AC780" s="95" t="str">
        <f>IF(AND(LEN(W780)&gt;0,F$24=0),IF(X780=2,W780&amp;" +2, ",W780&amp;", "),"")</f>
        <v/>
      </c>
    </row>
    <row r="781" spans="1:29">
      <c r="A781" s="95">
        <v>24</v>
      </c>
      <c r="B781" s="95">
        <f>IF(Doubles!N114="",0,Doubles!N114)</f>
        <v>0</v>
      </c>
      <c r="C781" s="99" t="str">
        <f>IF(OR(LEFT(B781,LEN(B$25))=B$25,LEFT(B781,LEN(C$25))=C$25,LEN(B781)&lt;2),"",IF(B781="no pick","","Wrong pick"))</f>
        <v/>
      </c>
      <c r="D781" s="95">
        <f t="shared" si="286"/>
        <v>0</v>
      </c>
      <c r="E781" s="95">
        <f t="shared" si="287"/>
        <v>0</v>
      </c>
      <c r="G781" s="95" t="str">
        <f>IF(B781=0,"",IF(B781="no pick","No Pick",IF(LEFT(B781,LEN(B$25))=B$25,B$25,C$25)))</f>
        <v/>
      </c>
      <c r="H781" s="95" t="str">
        <f t="shared" si="288"/>
        <v>0-0</v>
      </c>
      <c r="I781" s="95" t="str">
        <f>IF(AND(J781=$I$2,F$25=0,NOT(E$25="")),IF(OR(AND(Y781=AA781,Z781=AB781),AND(Y781=AB781,Z781=AA781)),"",IF(AND(Y781=Z781,AA781=AB781),Y781&amp;" +2 v. "&amp;AA781&amp;" +2, ",IF(Y781=AA781,Z781&amp;" v. "&amp;AB781&amp;", ",IF(Z781=AB781,Y781&amp;" v. "&amp;AA781&amp;", ",IF(Y781=AB781,Z781&amp;" v. "&amp;AA781&amp;", ",IF(Z781=AA781,Y781&amp;" v. "&amp;AB781&amp;", ",Y781&amp;" v. "&amp;AA781&amp;", "&amp;Z781&amp;" v. "&amp;AB781&amp;", ")))))),"")</f>
        <v/>
      </c>
      <c r="J781" s="95">
        <f>D$25</f>
        <v>0</v>
      </c>
      <c r="K781" s="95" t="str">
        <f t="shared" si="289"/>
        <v>SR</v>
      </c>
      <c r="L781" s="95" t="str">
        <f t="shared" si="290"/>
        <v>0</v>
      </c>
      <c r="M781" s="95" t="str">
        <f t="shared" si="291"/>
        <v>0</v>
      </c>
      <c r="N781" s="95" t="str">
        <f t="shared" si="292"/>
        <v>0</v>
      </c>
      <c r="O781" s="95" t="str">
        <f t="shared" si="293"/>
        <v>0</v>
      </c>
      <c r="P781" s="95" t="str">
        <f t="shared" si="294"/>
        <v>0</v>
      </c>
      <c r="Q781" s="95">
        <f>IF(AND(G781=T$25,LEN(G781)&gt;1),1,0)</f>
        <v>0</v>
      </c>
      <c r="R781" s="97">
        <f>Doubles!G$25</f>
        <v>24</v>
      </c>
      <c r="S781" s="95">
        <f>IF(AND(H781=H$25,LEN(H781)&gt;1,Q781=1),1,0)</f>
        <v>0</v>
      </c>
      <c r="V781" s="97">
        <f>VLOOKUP(24,R758:S781,2,0)</f>
        <v>0</v>
      </c>
      <c r="W781" s="95" t="str">
        <f t="shared" si="295"/>
        <v/>
      </c>
      <c r="X781" s="95">
        <f>IF(F$25=0,IF(AND(G781=G833,NOT(G781=G807),NOT(G781=G859),LEN(W781)&gt;0),2,IF(LEN(W781)=0,0,1)),0)</f>
        <v>0</v>
      </c>
      <c r="Y781" s="95" t="str">
        <f t="shared" si="296"/>
        <v xml:space="preserve"> 0-0</v>
      </c>
      <c r="Z781" s="95" t="str">
        <f t="shared" si="297"/>
        <v xml:space="preserve"> 0-0</v>
      </c>
      <c r="AA781" s="95" t="str">
        <f t="shared" si="298"/>
        <v xml:space="preserve"> 0-0</v>
      </c>
      <c r="AB781" s="95" t="str">
        <f t="shared" si="299"/>
        <v xml:space="preserve"> 0-0</v>
      </c>
      <c r="AC781" s="95" t="str">
        <f>IF(AND(LEN(W781)&gt;0,F$25=0),IF(X781=2,W781&amp;" +2, ",W781&amp;", "),"")</f>
        <v/>
      </c>
    </row>
    <row r="783" spans="1:29">
      <c r="A783" s="95" t="e">
        <f>IF(LEN(VLOOKUP(B783,Doubles!$A$2:$D$17,4,0))&gt;0,VLOOKUP(B783,Doubles!$A$2:$D$17,4,0),"")</f>
        <v>#N/A</v>
      </c>
      <c r="B783" s="96">
        <f>Doubles!P90</f>
        <v>0</v>
      </c>
      <c r="C783" s="96">
        <v>2</v>
      </c>
      <c r="D783" s="95" t="e">
        <f>VLOOKUP(B783,Doubles!$A$2:$E$17,5,0)</f>
        <v>#N/A</v>
      </c>
      <c r="J783" s="95" t="s">
        <v>88</v>
      </c>
      <c r="Q783" s="95" t="s">
        <v>121</v>
      </c>
      <c r="S783" s="95" t="s">
        <v>122</v>
      </c>
      <c r="T783" s="95" t="e">
        <f>IF(LEN(A783)&gt;0,"("&amp;A783&amp;") "&amp;B783,B783)</f>
        <v>#N/A</v>
      </c>
      <c r="V783" s="95" t="s">
        <v>122</v>
      </c>
      <c r="Z783" s="95" t="s">
        <v>129</v>
      </c>
    </row>
    <row r="784" spans="1:29">
      <c r="A784" s="95">
        <v>1</v>
      </c>
      <c r="B784" s="95">
        <f ca="1">IF(Doubles!P91="",0,Doubles!P91)</f>
        <v>0</v>
      </c>
      <c r="C784" s="99" t="str">
        <f ca="1">IF(OR(LEFT(B784,LEN(B$2))=B$2,LEFT(B784,LEN(C$2))=C$2,LEN(B784)&lt;2),"",IF(B784="no pick","","Wrong pick"))</f>
        <v/>
      </c>
      <c r="E784" s="95">
        <f t="shared" ref="E784:E807" ca="1" si="300">IF(AND($I$2=J784,B784=0),1,0)</f>
        <v>1</v>
      </c>
      <c r="F784" s="95" t="str">
        <f ca="1">IF(AND(SUM(E784:E807)=$I$4,NOT(B783="Bye")),"Missing picks from "&amp;B783&amp;" ","")</f>
        <v xml:space="preserve">Missing picks from 0 </v>
      </c>
      <c r="G784" s="95" t="str">
        <f ca="1">IF(B784=0,"",IF(B784="no pick","No Pick",IF(LEFT(B784,LEN(B$2))=B$2,B$2,C$2)))</f>
        <v/>
      </c>
      <c r="H784" s="95" t="str">
        <f t="shared" ref="H784:H807" ca="1" si="301">IF(L784="","",IF(K784="PTS",IF(LEN(O784)&lt;8,"2-0","2-1"),LEFT(O784,1)&amp;"-"&amp;RIGHT(O784,1)))</f>
        <v>0-0</v>
      </c>
      <c r="J784" s="97">
        <f>D$2</f>
        <v>1</v>
      </c>
      <c r="K784" s="95" t="str">
        <f t="shared" ref="K784:K807" ca="1" si="302">IF(LEN(L784)&gt;0,IF(LEN(O784)&lt;4,"SR","PTS"),"")</f>
        <v>SR</v>
      </c>
      <c r="L784" s="95" t="str">
        <f t="shared" ref="L784:L807" ca="1" si="303">TRIM(RIGHT(B784,LEN(B784)-LEN(G784)))</f>
        <v>0</v>
      </c>
      <c r="M784" s="95" t="str">
        <f t="shared" ref="M784:M807" ca="1" si="304">SUBSTITUTE(L784,"-","")</f>
        <v>0</v>
      </c>
      <c r="N784" s="95" t="str">
        <f t="shared" ref="N784:N807" ca="1" si="305">SUBSTITUTE(M784,","," ")</f>
        <v>0</v>
      </c>
      <c r="O784" s="95" t="str">
        <f t="shared" ref="O784:O807" ca="1" si="306">IF(AND(LEN(TRIM(SUBSTITUTE(P784,"/","")))&gt;6,OR(LEFT(TRIM(SUBSTITUTE(P784,"/","")),2)="20",LEFT(TRIM(SUBSTITUTE(P784,"/","")),2)="21")),RIGHT(TRIM(SUBSTITUTE(P784,"/","")),LEN(TRIM(SUBSTITUTE(P784,"/","")))-3),TRIM(SUBSTITUTE(P784,"/","")))</f>
        <v>0</v>
      </c>
      <c r="P784" s="95" t="str">
        <f t="shared" ref="P784:P807" ca="1" si="307">SUBSTITUTE(N784,":","")</f>
        <v>0</v>
      </c>
      <c r="Q784" s="95">
        <f ca="1">IF(AND(G784=T$2,LEN(G784)&gt;1),1,0)</f>
        <v>0</v>
      </c>
      <c r="R784" s="97">
        <f>Doubles!G$2</f>
        <v>1</v>
      </c>
      <c r="S784" s="95">
        <f ca="1">IF(AND(H784=H$2,LEN(H784)&gt;1,Q784=1),1,0)</f>
        <v>0</v>
      </c>
      <c r="V784" s="97">
        <f ca="1">VLOOKUP(1,R784:S807,2,0)</f>
        <v>0</v>
      </c>
      <c r="W784" s="95">
        <v>1</v>
      </c>
      <c r="Y784" s="95">
        <f ca="1">COUNTIF(X758:X781,"&gt;0")</f>
        <v>0</v>
      </c>
    </row>
    <row r="785" spans="1:23">
      <c r="A785" s="95">
        <v>2</v>
      </c>
      <c r="B785" s="95">
        <f ca="1">IF(Doubles!P92="",0,Doubles!P92)</f>
        <v>0</v>
      </c>
      <c r="C785" s="99" t="str">
        <f ca="1">IF(OR(LEFT(B785,LEN(B$3))=B$3,LEFT(B785,LEN(C$3))=C$3,LEN(B785)&lt;2),"",IF(B785="no pick","","Wrong pick"))</f>
        <v/>
      </c>
      <c r="E785" s="95">
        <f t="shared" ca="1" si="300"/>
        <v>1</v>
      </c>
      <c r="G785" s="95" t="str">
        <f ca="1">IF(B785=0,"",IF(B785="no pick","No Pick",IF(LEFT(B785,LEN(B$3))=B$3,B$3,C$3)))</f>
        <v/>
      </c>
      <c r="H785" s="95" t="str">
        <f t="shared" ca="1" si="301"/>
        <v>0-0</v>
      </c>
      <c r="J785" s="97">
        <f>D$3</f>
        <v>1</v>
      </c>
      <c r="K785" s="95" t="str">
        <f t="shared" ca="1" si="302"/>
        <v>SR</v>
      </c>
      <c r="L785" s="95" t="str">
        <f t="shared" ca="1" si="303"/>
        <v>0</v>
      </c>
      <c r="M785" s="95" t="str">
        <f t="shared" ca="1" si="304"/>
        <v>0</v>
      </c>
      <c r="N785" s="95" t="str">
        <f t="shared" ca="1" si="305"/>
        <v>0</v>
      </c>
      <c r="O785" s="95" t="str">
        <f t="shared" ca="1" si="306"/>
        <v>0</v>
      </c>
      <c r="P785" s="95" t="str">
        <f t="shared" ca="1" si="307"/>
        <v>0</v>
      </c>
      <c r="Q785" s="95">
        <f ca="1">IF(AND(G785=T$3,LEN(G785)&gt;1),1,0)</f>
        <v>0</v>
      </c>
      <c r="R785" s="97">
        <f>Doubles!G$3</f>
        <v>2</v>
      </c>
      <c r="S785" s="95">
        <f ca="1">IF(AND(H785=H$3,LEN(H785)&gt;1,Q785=1),1,0)</f>
        <v>0</v>
      </c>
      <c r="V785" s="97">
        <f ca="1">VLOOKUP(2,R784:S807,2,0)</f>
        <v>0</v>
      </c>
      <c r="W785" s="95">
        <v>2</v>
      </c>
    </row>
    <row r="786" spans="1:23">
      <c r="A786" s="95">
        <v>3</v>
      </c>
      <c r="B786" s="95">
        <f ca="1">IF(Doubles!P93="",0,Doubles!P93)</f>
        <v>0</v>
      </c>
      <c r="C786" s="99" t="str">
        <f ca="1">IF(OR(LEFT(B786,LEN(B$4))=B$4,LEFT(B786,LEN(C$4))=C$4,LEN(B786)&lt;2),"",IF(B786="no pick","","Wrong pick"))</f>
        <v/>
      </c>
      <c r="E786" s="95">
        <f t="shared" ca="1" si="300"/>
        <v>1</v>
      </c>
      <c r="G786" s="95" t="str">
        <f ca="1">IF(B786=0,"",IF(B786="no pick","No Pick",IF(LEFT(B786,LEN(B$4))=B$4,B$4,C$4)))</f>
        <v/>
      </c>
      <c r="H786" s="95" t="str">
        <f t="shared" ca="1" si="301"/>
        <v>0-0</v>
      </c>
      <c r="J786" s="97">
        <f>D$4</f>
        <v>1</v>
      </c>
      <c r="K786" s="95" t="str">
        <f t="shared" ca="1" si="302"/>
        <v>SR</v>
      </c>
      <c r="L786" s="95" t="str">
        <f t="shared" ca="1" si="303"/>
        <v>0</v>
      </c>
      <c r="M786" s="95" t="str">
        <f t="shared" ca="1" si="304"/>
        <v>0</v>
      </c>
      <c r="N786" s="95" t="str">
        <f t="shared" ca="1" si="305"/>
        <v>0</v>
      </c>
      <c r="O786" s="95" t="str">
        <f t="shared" ca="1" si="306"/>
        <v>0</v>
      </c>
      <c r="P786" s="95" t="str">
        <f t="shared" ca="1" si="307"/>
        <v>0</v>
      </c>
      <c r="Q786" s="95">
        <f ca="1">IF(AND(G786=T$4,LEN(G786)&gt;1),1,0)</f>
        <v>0</v>
      </c>
      <c r="R786" s="97">
        <f>Doubles!G$4</f>
        <v>3</v>
      </c>
      <c r="S786" s="95">
        <f ca="1">IF(AND(H786=H$4,LEN(H786)&gt;1,Q786=1),1,0)</f>
        <v>0</v>
      </c>
      <c r="V786" s="97">
        <f ca="1">VLOOKUP(3,R784:S807,2,0)</f>
        <v>0</v>
      </c>
      <c r="W786" s="95">
        <v>3</v>
      </c>
    </row>
    <row r="787" spans="1:23">
      <c r="A787" s="95">
        <v>4</v>
      </c>
      <c r="B787" s="95">
        <f ca="1">IF(Doubles!P94="",0,Doubles!P94)</f>
        <v>0</v>
      </c>
      <c r="C787" s="99" t="str">
        <f ca="1">IF(OR(LEFT(B787,LEN(B$5))=B$5,LEFT(B787,LEN(C$5))=C$5,LEN(B787)&lt;2),"",IF(B787="no pick","","Wrong pick"))</f>
        <v/>
      </c>
      <c r="E787" s="95">
        <f t="shared" ca="1" si="300"/>
        <v>1</v>
      </c>
      <c r="G787" s="95" t="str">
        <f ca="1">IF(B787=0,"",IF(B787="no pick","No Pick",IF(LEFT(B787,LEN(B$5))=B$5,B$5,C$5)))</f>
        <v/>
      </c>
      <c r="H787" s="95" t="str">
        <f t="shared" ca="1" si="301"/>
        <v>0-0</v>
      </c>
      <c r="J787" s="97">
        <f>D$5</f>
        <v>1</v>
      </c>
      <c r="K787" s="95" t="str">
        <f t="shared" ca="1" si="302"/>
        <v>SR</v>
      </c>
      <c r="L787" s="95" t="str">
        <f t="shared" ca="1" si="303"/>
        <v>0</v>
      </c>
      <c r="M787" s="95" t="str">
        <f t="shared" ca="1" si="304"/>
        <v>0</v>
      </c>
      <c r="N787" s="95" t="str">
        <f t="shared" ca="1" si="305"/>
        <v>0</v>
      </c>
      <c r="O787" s="95" t="str">
        <f t="shared" ca="1" si="306"/>
        <v>0</v>
      </c>
      <c r="P787" s="95" t="str">
        <f t="shared" ca="1" si="307"/>
        <v>0</v>
      </c>
      <c r="Q787" s="95">
        <f ca="1">IF(AND(G787=T$5,LEN(G787)&gt;1),1,0)</f>
        <v>0</v>
      </c>
      <c r="R787" s="97">
        <f>Doubles!G$5</f>
        <v>4</v>
      </c>
      <c r="S787" s="95">
        <f ca="1">IF(AND(H787=H$5,LEN(H787)&gt;1,Q787=1),1,0)</f>
        <v>0</v>
      </c>
      <c r="V787" s="97">
        <f ca="1">VLOOKUP(4,R784:S807,2,0)</f>
        <v>0</v>
      </c>
      <c r="W787" s="95">
        <v>4</v>
      </c>
    </row>
    <row r="788" spans="1:23">
      <c r="A788" s="95">
        <v>5</v>
      </c>
      <c r="B788" s="95">
        <f ca="1">IF(Doubles!P95="",0,Doubles!P95)</f>
        <v>0</v>
      </c>
      <c r="C788" s="99" t="str">
        <f ca="1">IF(OR(LEFT(B788,LEN(B$6))=B$6,LEFT(B788,LEN(C$6))=C$6,LEN(B788)&lt;2),"",IF(B788="no pick","","Wrong pick"))</f>
        <v/>
      </c>
      <c r="E788" s="95">
        <f t="shared" ca="1" si="300"/>
        <v>1</v>
      </c>
      <c r="G788" s="95" t="str">
        <f ca="1">IF(B788=0,"",IF(B788="no pick","No Pick",IF(LEFT(B788,LEN(B$6))=B$6,B$6,C$6)))</f>
        <v/>
      </c>
      <c r="H788" s="95" t="str">
        <f t="shared" ca="1" si="301"/>
        <v>0-0</v>
      </c>
      <c r="J788" s="97">
        <f>D$6</f>
        <v>1</v>
      </c>
      <c r="K788" s="95" t="str">
        <f t="shared" ca="1" si="302"/>
        <v>SR</v>
      </c>
      <c r="L788" s="95" t="str">
        <f t="shared" ca="1" si="303"/>
        <v>0</v>
      </c>
      <c r="M788" s="95" t="str">
        <f t="shared" ca="1" si="304"/>
        <v>0</v>
      </c>
      <c r="N788" s="95" t="str">
        <f t="shared" ca="1" si="305"/>
        <v>0</v>
      </c>
      <c r="O788" s="95" t="str">
        <f t="shared" ca="1" si="306"/>
        <v>0</v>
      </c>
      <c r="P788" s="95" t="str">
        <f t="shared" ca="1" si="307"/>
        <v>0</v>
      </c>
      <c r="Q788" s="95">
        <f ca="1">IF(AND(G788=T$6,LEN(G788)&gt;1),1,0)</f>
        <v>0</v>
      </c>
      <c r="R788" s="97">
        <f>Doubles!G$6</f>
        <v>5</v>
      </c>
      <c r="S788" s="95">
        <f ca="1">IF(AND(H788=H$6,LEN(H788)&gt;1,Q788=1),1,0)</f>
        <v>0</v>
      </c>
      <c r="V788" s="97">
        <f ca="1">VLOOKUP(5,R784:S807,2,0)</f>
        <v>0</v>
      </c>
      <c r="W788" s="95">
        <v>5</v>
      </c>
    </row>
    <row r="789" spans="1:23">
      <c r="A789" s="95">
        <v>6</v>
      </c>
      <c r="B789" s="95">
        <f ca="1">IF(Doubles!P96="",0,Doubles!P96)</f>
        <v>0</v>
      </c>
      <c r="C789" s="99" t="str">
        <f ca="1">IF(OR(LEFT(B789,LEN(B$7))=B$7,LEFT(B789,LEN(C$7))=C$7,LEN(B789)&lt;2),"",IF(B789="no pick","","Wrong pick"))</f>
        <v/>
      </c>
      <c r="E789" s="95">
        <f t="shared" ca="1" si="300"/>
        <v>1</v>
      </c>
      <c r="G789" s="95" t="str">
        <f ca="1">IF(B789=0,"",IF(B789="no pick","No Pick",IF(LEFT(B789,LEN(B$7))=B$7,B$7,C$7)))</f>
        <v/>
      </c>
      <c r="H789" s="95" t="str">
        <f t="shared" ca="1" si="301"/>
        <v>0-0</v>
      </c>
      <c r="J789" s="97">
        <f>D$7</f>
        <v>1</v>
      </c>
      <c r="K789" s="95" t="str">
        <f t="shared" ca="1" si="302"/>
        <v>SR</v>
      </c>
      <c r="L789" s="95" t="str">
        <f t="shared" ca="1" si="303"/>
        <v>0</v>
      </c>
      <c r="M789" s="95" t="str">
        <f t="shared" ca="1" si="304"/>
        <v>0</v>
      </c>
      <c r="N789" s="95" t="str">
        <f t="shared" ca="1" si="305"/>
        <v>0</v>
      </c>
      <c r="O789" s="95" t="str">
        <f t="shared" ca="1" si="306"/>
        <v>0</v>
      </c>
      <c r="P789" s="95" t="str">
        <f t="shared" ca="1" si="307"/>
        <v>0</v>
      </c>
      <c r="Q789" s="95">
        <f ca="1">IF(AND(G789=T$7,LEN(G789)&gt;1),1,0)</f>
        <v>0</v>
      </c>
      <c r="R789" s="97">
        <f>Doubles!G$7</f>
        <v>6</v>
      </c>
      <c r="S789" s="95">
        <f ca="1">IF(AND(H789=H$7,LEN(H789)&gt;1,Q789=1),1,0)</f>
        <v>0</v>
      </c>
      <c r="V789" s="97">
        <f ca="1">VLOOKUP(6,R784:S807,2,0)</f>
        <v>0</v>
      </c>
      <c r="W789" s="95">
        <v>6</v>
      </c>
    </row>
    <row r="790" spans="1:23">
      <c r="A790" s="95">
        <v>7</v>
      </c>
      <c r="B790" s="95">
        <f ca="1">IF(Doubles!P97="",0,Doubles!P97)</f>
        <v>0</v>
      </c>
      <c r="C790" s="99" t="str">
        <f ca="1">IF(OR(LEFT(B790,LEN(B$8))=B$8,LEFT(B790,LEN(C$8))=C$8,LEN(B790)&lt;2),"",IF(B790="no pick","","Wrong pick"))</f>
        <v/>
      </c>
      <c r="E790" s="95">
        <f t="shared" ca="1" si="300"/>
        <v>1</v>
      </c>
      <c r="G790" s="95" t="str">
        <f ca="1">IF(B790=0,"",IF(B790="no pick","No Pick",IF(LEFT(B790,LEN(B$8))=B$8,B$8,C$8)))</f>
        <v/>
      </c>
      <c r="H790" s="95" t="str">
        <f t="shared" ca="1" si="301"/>
        <v>0-0</v>
      </c>
      <c r="J790" s="97">
        <f>D$8</f>
        <v>1</v>
      </c>
      <c r="K790" s="95" t="str">
        <f t="shared" ca="1" si="302"/>
        <v>SR</v>
      </c>
      <c r="L790" s="95" t="str">
        <f t="shared" ca="1" si="303"/>
        <v>0</v>
      </c>
      <c r="M790" s="95" t="str">
        <f t="shared" ca="1" si="304"/>
        <v>0</v>
      </c>
      <c r="N790" s="95" t="str">
        <f t="shared" ca="1" si="305"/>
        <v>0</v>
      </c>
      <c r="O790" s="95" t="str">
        <f t="shared" ca="1" si="306"/>
        <v>0</v>
      </c>
      <c r="P790" s="95" t="str">
        <f t="shared" ca="1" si="307"/>
        <v>0</v>
      </c>
      <c r="Q790" s="95">
        <f ca="1">IF(AND(G790=T$8,LEN(G790)&gt;1),1,0)</f>
        <v>0</v>
      </c>
      <c r="R790" s="97">
        <f>Doubles!G$8</f>
        <v>7</v>
      </c>
      <c r="S790" s="95">
        <f ca="1">IF(AND(H790=H$8,LEN(H790)&gt;1,Q790=1),1,0)</f>
        <v>0</v>
      </c>
      <c r="V790" s="97">
        <f ca="1">VLOOKUP(7,R784:S807,2,0)</f>
        <v>0</v>
      </c>
      <c r="W790" s="95">
        <v>7</v>
      </c>
    </row>
    <row r="791" spans="1:23">
      <c r="A791" s="95">
        <v>8</v>
      </c>
      <c r="B791" s="95">
        <f ca="1">IF(Doubles!P98="",0,Doubles!P98)</f>
        <v>0</v>
      </c>
      <c r="C791" s="99" t="str">
        <f ca="1">IF(OR(LEFT(B791,LEN(B$9))=B$9,LEFT(B791,LEN(C$9))=C$9,LEN(B791)&lt;2),"",IF(B791="no pick","","Wrong pick"))</f>
        <v/>
      </c>
      <c r="E791" s="95">
        <f t="shared" ca="1" si="300"/>
        <v>1</v>
      </c>
      <c r="G791" s="95" t="str">
        <f ca="1">IF(B791=0,"",IF(B791="no pick","No Pick",IF(LEFT(B791,LEN(B$9))=B$9,B$9,C$9)))</f>
        <v/>
      </c>
      <c r="H791" s="95" t="str">
        <f t="shared" ca="1" si="301"/>
        <v>0-0</v>
      </c>
      <c r="J791" s="97">
        <f>D$9</f>
        <v>1</v>
      </c>
      <c r="K791" s="95" t="str">
        <f t="shared" ca="1" si="302"/>
        <v>SR</v>
      </c>
      <c r="L791" s="95" t="str">
        <f t="shared" ca="1" si="303"/>
        <v>0</v>
      </c>
      <c r="M791" s="95" t="str">
        <f t="shared" ca="1" si="304"/>
        <v>0</v>
      </c>
      <c r="N791" s="95" t="str">
        <f t="shared" ca="1" si="305"/>
        <v>0</v>
      </c>
      <c r="O791" s="95" t="str">
        <f t="shared" ca="1" si="306"/>
        <v>0</v>
      </c>
      <c r="P791" s="95" t="str">
        <f t="shared" ca="1" si="307"/>
        <v>0</v>
      </c>
      <c r="Q791" s="95">
        <f ca="1">IF(AND(G791=T$9,LEN(G791)&gt;1),1,0)</f>
        <v>0</v>
      </c>
      <c r="R791" s="97">
        <f>Doubles!G$9</f>
        <v>8</v>
      </c>
      <c r="S791" s="95">
        <f ca="1">IF(AND(H791=H$9,LEN(H791)&gt;1,Q791=1),1,0)</f>
        <v>0</v>
      </c>
      <c r="V791" s="97">
        <f ca="1">VLOOKUP(8,R784:S807,2,0)</f>
        <v>0</v>
      </c>
      <c r="W791" s="95">
        <v>8</v>
      </c>
    </row>
    <row r="792" spans="1:23">
      <c r="A792" s="95">
        <v>9</v>
      </c>
      <c r="B792" s="95">
        <f ca="1">IF(Doubles!P99="",0,Doubles!P99)</f>
        <v>0</v>
      </c>
      <c r="C792" s="99" t="str">
        <f ca="1">IF(OR(LEFT(B792,LEN(B$10))=B$10,LEFT(B792,LEN(C$10))=C$10,LEN(B792)&lt;2),"",IF(B792="no pick","","Wrong pick"))</f>
        <v/>
      </c>
      <c r="E792" s="95">
        <f t="shared" ca="1" si="300"/>
        <v>1</v>
      </c>
      <c r="G792" s="95" t="str">
        <f ca="1">IF(B792=0,"",IF(B792="no pick","No Pick",IF(LEFT(B792,LEN(B$10))=B$10,B$10,C$10)))</f>
        <v/>
      </c>
      <c r="H792" s="95" t="str">
        <f t="shared" ca="1" si="301"/>
        <v>0-0</v>
      </c>
      <c r="J792" s="97">
        <f>D$10</f>
        <v>1</v>
      </c>
      <c r="K792" s="95" t="str">
        <f t="shared" ca="1" si="302"/>
        <v>SR</v>
      </c>
      <c r="L792" s="95" t="str">
        <f t="shared" ca="1" si="303"/>
        <v>0</v>
      </c>
      <c r="M792" s="95" t="str">
        <f t="shared" ca="1" si="304"/>
        <v>0</v>
      </c>
      <c r="N792" s="95" t="str">
        <f t="shared" ca="1" si="305"/>
        <v>0</v>
      </c>
      <c r="O792" s="95" t="str">
        <f t="shared" ca="1" si="306"/>
        <v>0</v>
      </c>
      <c r="P792" s="95" t="str">
        <f t="shared" ca="1" si="307"/>
        <v>0</v>
      </c>
      <c r="Q792" s="95">
        <f ca="1">IF(AND(G792=T$10,LEN(G792)&gt;1),1,0)</f>
        <v>0</v>
      </c>
      <c r="R792" s="97">
        <f>Doubles!G$10</f>
        <v>9</v>
      </c>
      <c r="S792" s="95">
        <f ca="1">IF(AND(H792=H$10,LEN(H792)&gt;1,Q792=1),1,0)</f>
        <v>0</v>
      </c>
      <c r="V792" s="97">
        <f ca="1">VLOOKUP(9,R784:S807,2,0)</f>
        <v>0</v>
      </c>
      <c r="W792" s="95">
        <v>9</v>
      </c>
    </row>
    <row r="793" spans="1:23">
      <c r="A793" s="95">
        <v>10</v>
      </c>
      <c r="B793" s="95">
        <f ca="1">IF(Doubles!P100="",0,Doubles!P100)</f>
        <v>0</v>
      </c>
      <c r="C793" s="99" t="str">
        <f ca="1">IF(OR(LEFT(B793,LEN(B$11))=B$11,LEFT(B793,LEN(C$11))=C$11,LEN(B793)&lt;2),"",IF(B793="no pick","","Wrong pick"))</f>
        <v/>
      </c>
      <c r="E793" s="95">
        <f t="shared" ca="1" si="300"/>
        <v>1</v>
      </c>
      <c r="G793" s="95" t="str">
        <f ca="1">IF(B793=0,"",IF(B793="no pick","No Pick",IF(LEFT(B793,LEN(B$11))=B$11,B$11,C$11)))</f>
        <v/>
      </c>
      <c r="H793" s="95" t="str">
        <f t="shared" ca="1" si="301"/>
        <v>0-0</v>
      </c>
      <c r="J793" s="97">
        <f>D$11</f>
        <v>1</v>
      </c>
      <c r="K793" s="95" t="str">
        <f t="shared" ca="1" si="302"/>
        <v>SR</v>
      </c>
      <c r="L793" s="95" t="str">
        <f t="shared" ca="1" si="303"/>
        <v>0</v>
      </c>
      <c r="M793" s="95" t="str">
        <f t="shared" ca="1" si="304"/>
        <v>0</v>
      </c>
      <c r="N793" s="95" t="str">
        <f t="shared" ca="1" si="305"/>
        <v>0</v>
      </c>
      <c r="O793" s="95" t="str">
        <f t="shared" ca="1" si="306"/>
        <v>0</v>
      </c>
      <c r="P793" s="95" t="str">
        <f t="shared" ca="1" si="307"/>
        <v>0</v>
      </c>
      <c r="Q793" s="95">
        <f ca="1">IF(AND(G793=T$11,LEN(G793)&gt;1),1,0)</f>
        <v>0</v>
      </c>
      <c r="R793" s="97">
        <f>Doubles!G$11</f>
        <v>10</v>
      </c>
      <c r="S793" s="95">
        <f ca="1">IF(AND(H793=H$11,LEN(H793)&gt;1,Q793=1),1,0)</f>
        <v>0</v>
      </c>
      <c r="V793" s="97">
        <f ca="1">VLOOKUP(10,R784:S807,2,0)</f>
        <v>0</v>
      </c>
      <c r="W793" s="95">
        <v>10</v>
      </c>
    </row>
    <row r="794" spans="1:23">
      <c r="A794" s="95">
        <v>11</v>
      </c>
      <c r="B794" s="95">
        <f ca="1">IF(Doubles!P101="",0,Doubles!P101)</f>
        <v>0</v>
      </c>
      <c r="C794" s="99" t="str">
        <f ca="1">IF(OR(LEFT(B794,LEN(B$12))=B$12,LEFT(B794,LEN(C$12))=C$12,LEN(B794)&lt;2),"",IF(B794="no pick","","Wrong pick"))</f>
        <v/>
      </c>
      <c r="E794" s="95">
        <f t="shared" ca="1" si="300"/>
        <v>1</v>
      </c>
      <c r="G794" s="95" t="str">
        <f ca="1">IF(B794=0,"",IF(B794="no pick","No Pick",IF(LEFT(B794,LEN(B$12))=B$12,B$12,C$12)))</f>
        <v/>
      </c>
      <c r="H794" s="95" t="str">
        <f t="shared" ca="1" si="301"/>
        <v>0-0</v>
      </c>
      <c r="J794" s="97">
        <f>D$12</f>
        <v>1</v>
      </c>
      <c r="K794" s="95" t="str">
        <f t="shared" ca="1" si="302"/>
        <v>SR</v>
      </c>
      <c r="L794" s="95" t="str">
        <f t="shared" ca="1" si="303"/>
        <v>0</v>
      </c>
      <c r="M794" s="95" t="str">
        <f t="shared" ca="1" si="304"/>
        <v>0</v>
      </c>
      <c r="N794" s="95" t="str">
        <f t="shared" ca="1" si="305"/>
        <v>0</v>
      </c>
      <c r="O794" s="95" t="str">
        <f t="shared" ca="1" si="306"/>
        <v>0</v>
      </c>
      <c r="P794" s="95" t="str">
        <f t="shared" ca="1" si="307"/>
        <v>0</v>
      </c>
      <c r="Q794" s="95">
        <f ca="1">IF(AND(G794=T$12,LEN(G794)&gt;1),1,0)</f>
        <v>0</v>
      </c>
      <c r="R794" s="97">
        <f>Doubles!G$12</f>
        <v>11</v>
      </c>
      <c r="S794" s="95">
        <f ca="1">IF(AND(H794=H$12,LEN(H794)&gt;1,Q794=1),1,0)</f>
        <v>0</v>
      </c>
      <c r="V794" s="97">
        <f ca="1">VLOOKUP(11,R784:S807,2,0)</f>
        <v>0</v>
      </c>
      <c r="W794" s="95">
        <v>11</v>
      </c>
    </row>
    <row r="795" spans="1:23">
      <c r="A795" s="95">
        <v>12</v>
      </c>
      <c r="B795" s="95">
        <f ca="1">IF(Doubles!P102="",0,Doubles!P102)</f>
        <v>0</v>
      </c>
      <c r="C795" s="99" t="str">
        <f ca="1">IF(OR(LEFT(B795,LEN(B$13))=B$13,LEFT(B795,LEN(C$13))=C$13,LEN(B795)&lt;2),"",IF(B795="no pick","","Wrong pick"))</f>
        <v/>
      </c>
      <c r="E795" s="95">
        <f t="shared" ca="1" si="300"/>
        <v>1</v>
      </c>
      <c r="G795" s="95" t="str">
        <f ca="1">IF(B795=0,"",IF(B795="no pick","No Pick",IF(LEFT(B795,LEN(B$13))=B$13,B$13,C$13)))</f>
        <v/>
      </c>
      <c r="H795" s="95" t="str">
        <f t="shared" ca="1" si="301"/>
        <v>0-0</v>
      </c>
      <c r="J795" s="97">
        <f>D$13</f>
        <v>1</v>
      </c>
      <c r="K795" s="95" t="str">
        <f t="shared" ca="1" si="302"/>
        <v>SR</v>
      </c>
      <c r="L795" s="95" t="str">
        <f t="shared" ca="1" si="303"/>
        <v>0</v>
      </c>
      <c r="M795" s="95" t="str">
        <f t="shared" ca="1" si="304"/>
        <v>0</v>
      </c>
      <c r="N795" s="95" t="str">
        <f t="shared" ca="1" si="305"/>
        <v>0</v>
      </c>
      <c r="O795" s="95" t="str">
        <f t="shared" ca="1" si="306"/>
        <v>0</v>
      </c>
      <c r="P795" s="95" t="str">
        <f t="shared" ca="1" si="307"/>
        <v>0</v>
      </c>
      <c r="Q795" s="95">
        <f ca="1">IF(AND(G795=T$13,LEN(G795)&gt;1),1,0)</f>
        <v>0</v>
      </c>
      <c r="R795" s="97">
        <f>Doubles!G$13</f>
        <v>12</v>
      </c>
      <c r="S795" s="95">
        <f ca="1">IF(AND(H795=H$13,LEN(H795)&gt;1,Q795=1),1,0)</f>
        <v>0</v>
      </c>
      <c r="V795" s="97">
        <f ca="1">VLOOKUP(12,R784:S807,2,0)</f>
        <v>0</v>
      </c>
      <c r="W795" s="95">
        <v>12</v>
      </c>
    </row>
    <row r="796" spans="1:23">
      <c r="A796" s="95">
        <v>13</v>
      </c>
      <c r="B796" s="95">
        <f ca="1">IF(Doubles!P103="",0,Doubles!P103)</f>
        <v>0</v>
      </c>
      <c r="C796" s="99" t="str">
        <f ca="1">IF(OR(LEFT(B796,LEN(B$14))=B$14,LEFT(B796,LEN(C$14))=C$14,LEN(B796)&lt;2),"",IF(B796="no pick","","Wrong pick"))</f>
        <v/>
      </c>
      <c r="E796" s="95">
        <f t="shared" ca="1" si="300"/>
        <v>1</v>
      </c>
      <c r="G796" s="95" t="str">
        <f ca="1">IF(B796=0,"",IF(B796="no pick","No Pick",IF(LEFT(B796,LEN(B$14))=B$14,B$14,C$14)))</f>
        <v/>
      </c>
      <c r="H796" s="95" t="str">
        <f t="shared" ca="1" si="301"/>
        <v>0-0</v>
      </c>
      <c r="J796" s="97">
        <f>D$14</f>
        <v>1</v>
      </c>
      <c r="K796" s="95" t="str">
        <f t="shared" ca="1" si="302"/>
        <v>SR</v>
      </c>
      <c r="L796" s="95" t="str">
        <f t="shared" ca="1" si="303"/>
        <v>0</v>
      </c>
      <c r="M796" s="95" t="str">
        <f t="shared" ca="1" si="304"/>
        <v>0</v>
      </c>
      <c r="N796" s="95" t="str">
        <f t="shared" ca="1" si="305"/>
        <v>0</v>
      </c>
      <c r="O796" s="95" t="str">
        <f t="shared" ca="1" si="306"/>
        <v>0</v>
      </c>
      <c r="P796" s="95" t="str">
        <f t="shared" ca="1" si="307"/>
        <v>0</v>
      </c>
      <c r="Q796" s="95">
        <f ca="1">IF(AND(G796=T$14,LEN(G796)&gt;1),1,0)</f>
        <v>0</v>
      </c>
      <c r="R796" s="97">
        <f>Doubles!G$14</f>
        <v>13</v>
      </c>
      <c r="S796" s="95">
        <f ca="1">IF(AND(H796=H$14,LEN(H796)&gt;1,Q796=1),1,0)</f>
        <v>0</v>
      </c>
      <c r="V796" s="97">
        <f ca="1">VLOOKUP(13,R784:S807,2,0)</f>
        <v>0</v>
      </c>
      <c r="W796" s="95">
        <v>13</v>
      </c>
    </row>
    <row r="797" spans="1:23">
      <c r="A797" s="95">
        <v>14</v>
      </c>
      <c r="B797" s="95">
        <f ca="1">IF(Doubles!P104="",0,Doubles!P104)</f>
        <v>0</v>
      </c>
      <c r="C797" s="99" t="str">
        <f ca="1">IF(OR(LEFT(B797,LEN(B$15))=B$15,LEFT(B797,LEN(C$15))=C$15,LEN(B797)&lt;2),"",IF(B797="no pick","","Wrong pick"))</f>
        <v/>
      </c>
      <c r="E797" s="95">
        <f t="shared" ca="1" si="300"/>
        <v>1</v>
      </c>
      <c r="G797" s="95" t="str">
        <f ca="1">IF(B797=0,"",IF(B797="no pick","No Pick",IF(LEFT(B797,LEN(B$15))=B$15,B$15,C$15)))</f>
        <v/>
      </c>
      <c r="H797" s="95" t="str">
        <f t="shared" ca="1" si="301"/>
        <v>0-0</v>
      </c>
      <c r="J797" s="97">
        <f>D$15</f>
        <v>1</v>
      </c>
      <c r="K797" s="95" t="str">
        <f t="shared" ca="1" si="302"/>
        <v>SR</v>
      </c>
      <c r="L797" s="95" t="str">
        <f t="shared" ca="1" si="303"/>
        <v>0</v>
      </c>
      <c r="M797" s="95" t="str">
        <f t="shared" ca="1" si="304"/>
        <v>0</v>
      </c>
      <c r="N797" s="95" t="str">
        <f t="shared" ca="1" si="305"/>
        <v>0</v>
      </c>
      <c r="O797" s="95" t="str">
        <f t="shared" ca="1" si="306"/>
        <v>0</v>
      </c>
      <c r="P797" s="95" t="str">
        <f t="shared" ca="1" si="307"/>
        <v>0</v>
      </c>
      <c r="Q797" s="95">
        <f ca="1">IF(AND(G797=T$15,LEN(G797)&gt;1),1,0)</f>
        <v>0</v>
      </c>
      <c r="R797" s="97">
        <f>Doubles!G$15</f>
        <v>14</v>
      </c>
      <c r="S797" s="95">
        <f ca="1">IF(AND(H797=H$15,LEN(H797)&gt;1,Q797=1),1,0)</f>
        <v>0</v>
      </c>
      <c r="V797" s="97">
        <f ca="1">VLOOKUP(14,R784:S807,2,0)</f>
        <v>0</v>
      </c>
      <c r="W797" s="95">
        <v>14</v>
      </c>
    </row>
    <row r="798" spans="1:23">
      <c r="A798" s="95">
        <v>15</v>
      </c>
      <c r="B798" s="95">
        <f ca="1">IF(Doubles!P105="",0,Doubles!P105)</f>
        <v>0</v>
      </c>
      <c r="C798" s="99" t="str">
        <f ca="1">IF(OR(LEFT(B798,LEN(B$16))=B$16,LEFT(B798,LEN(C$16))=C$16,LEN(B798)&lt;2),"",IF(B798="no pick","","Wrong pick"))</f>
        <v/>
      </c>
      <c r="E798" s="95">
        <f t="shared" ca="1" si="300"/>
        <v>1</v>
      </c>
      <c r="G798" s="95" t="str">
        <f ca="1">IF(B798=0,"",IF(B798="no pick","No Pick",IF(LEFT(B798,LEN(B$16))=B$16,B$16,C$16)))</f>
        <v/>
      </c>
      <c r="H798" s="95" t="str">
        <f t="shared" ca="1" si="301"/>
        <v>0-0</v>
      </c>
      <c r="J798" s="97">
        <f>D$16</f>
        <v>1</v>
      </c>
      <c r="K798" s="95" t="str">
        <f t="shared" ca="1" si="302"/>
        <v>SR</v>
      </c>
      <c r="L798" s="95" t="str">
        <f t="shared" ca="1" si="303"/>
        <v>0</v>
      </c>
      <c r="M798" s="95" t="str">
        <f t="shared" ca="1" si="304"/>
        <v>0</v>
      </c>
      <c r="N798" s="95" t="str">
        <f t="shared" ca="1" si="305"/>
        <v>0</v>
      </c>
      <c r="O798" s="95" t="str">
        <f t="shared" ca="1" si="306"/>
        <v>0</v>
      </c>
      <c r="P798" s="95" t="str">
        <f t="shared" ca="1" si="307"/>
        <v>0</v>
      </c>
      <c r="Q798" s="95">
        <f ca="1">IF(AND(G798=T$16,LEN(G798)&gt;1),1,0)</f>
        <v>0</v>
      </c>
      <c r="R798" s="97">
        <f>Doubles!G$16</f>
        <v>15</v>
      </c>
      <c r="S798" s="95">
        <f ca="1">IF(AND(H798=H$16,LEN(H798)&gt;1,Q798=1),1,0)</f>
        <v>0</v>
      </c>
      <c r="V798" s="97">
        <f ca="1">VLOOKUP(15,R784:S807,2,0)</f>
        <v>0</v>
      </c>
      <c r="W798" s="95">
        <v>15</v>
      </c>
    </row>
    <row r="799" spans="1:23">
      <c r="A799" s="95">
        <v>16</v>
      </c>
      <c r="B799" s="95">
        <f ca="1">IF(Doubles!P106="",0,Doubles!P106)</f>
        <v>0</v>
      </c>
      <c r="C799" s="99" t="str">
        <f ca="1">IF(OR(LEFT(B799,LEN(B$17))=B$17,LEFT(B799,LEN(C$17))=C$17,LEN(B799)&lt;2),"",IF(B799="no pick","","Wrong pick"))</f>
        <v/>
      </c>
      <c r="E799" s="95">
        <f t="shared" ca="1" si="300"/>
        <v>1</v>
      </c>
      <c r="G799" s="95" t="str">
        <f ca="1">IF(B799=0,"",IF(B799="no pick","No Pick",IF(LEFT(B799,LEN(B$17))=B$17,B$17,C$17)))</f>
        <v/>
      </c>
      <c r="H799" s="95" t="str">
        <f t="shared" ca="1" si="301"/>
        <v>0-0</v>
      </c>
      <c r="J799" s="97">
        <f>D$17</f>
        <v>1</v>
      </c>
      <c r="K799" s="95" t="str">
        <f t="shared" ca="1" si="302"/>
        <v>SR</v>
      </c>
      <c r="L799" s="95" t="str">
        <f t="shared" ca="1" si="303"/>
        <v>0</v>
      </c>
      <c r="M799" s="95" t="str">
        <f t="shared" ca="1" si="304"/>
        <v>0</v>
      </c>
      <c r="N799" s="95" t="str">
        <f t="shared" ca="1" si="305"/>
        <v>0</v>
      </c>
      <c r="O799" s="95" t="str">
        <f t="shared" ca="1" si="306"/>
        <v>0</v>
      </c>
      <c r="P799" s="95" t="str">
        <f t="shared" ca="1" si="307"/>
        <v>0</v>
      </c>
      <c r="Q799" s="95">
        <f ca="1">IF(AND(G799=T$17,LEN(G799)&gt;1),1,0)</f>
        <v>0</v>
      </c>
      <c r="R799" s="97">
        <f>Doubles!G$17</f>
        <v>16</v>
      </c>
      <c r="S799" s="95">
        <f ca="1">IF(AND(H799=H$17,LEN(H799)&gt;1,Q799=1),1,0)</f>
        <v>0</v>
      </c>
      <c r="V799" s="97">
        <f ca="1">VLOOKUP(16,R784:S807,2,0)</f>
        <v>0</v>
      </c>
      <c r="W799" s="95">
        <v>16</v>
      </c>
    </row>
    <row r="800" spans="1:23">
      <c r="A800" s="95">
        <v>17</v>
      </c>
      <c r="B800" s="95">
        <f>IF(Doubles!P107="",0,Doubles!P107)</f>
        <v>0</v>
      </c>
      <c r="C800" s="99" t="str">
        <f>IF(OR(LEFT(B800,LEN(B$18))=B$18,LEFT(B800,LEN(C$18))=C$18,LEN(B800)&lt;2),"",IF(B800="no pick","","Wrong pick"))</f>
        <v/>
      </c>
      <c r="E800" s="95">
        <f t="shared" si="300"/>
        <v>0</v>
      </c>
      <c r="G800" s="95" t="str">
        <f>IF(B800=0,"",IF(B800="no pick","No Pick",IF(LEFT(B800,LEN(B$18))=B$18,B$18,C$18)))</f>
        <v/>
      </c>
      <c r="H800" s="95" t="str">
        <f t="shared" si="301"/>
        <v>0-0</v>
      </c>
      <c r="J800" s="95">
        <f>D$18</f>
        <v>0</v>
      </c>
      <c r="K800" s="95" t="str">
        <f t="shared" si="302"/>
        <v>SR</v>
      </c>
      <c r="L800" s="95" t="str">
        <f t="shared" si="303"/>
        <v>0</v>
      </c>
      <c r="M800" s="95" t="str">
        <f t="shared" si="304"/>
        <v>0</v>
      </c>
      <c r="N800" s="95" t="str">
        <f t="shared" si="305"/>
        <v>0</v>
      </c>
      <c r="O800" s="95" t="str">
        <f t="shared" si="306"/>
        <v>0</v>
      </c>
      <c r="P800" s="95" t="str">
        <f t="shared" si="307"/>
        <v>0</v>
      </c>
      <c r="Q800" s="95">
        <f>IF(AND(G800=T$18,LEN(G800)&gt;1),1,0)</f>
        <v>0</v>
      </c>
      <c r="R800" s="97">
        <f>Doubles!G$18</f>
        <v>17</v>
      </c>
      <c r="S800" s="95">
        <f>IF(AND(H800=H$18,LEN(H800)&gt;1,Q800=1),1,0)</f>
        <v>0</v>
      </c>
      <c r="V800" s="97">
        <f>VLOOKUP(17,R784:S807,2,0)</f>
        <v>0</v>
      </c>
      <c r="W800" s="95">
        <v>17</v>
      </c>
    </row>
    <row r="801" spans="1:29">
      <c r="A801" s="95">
        <v>18</v>
      </c>
      <c r="B801" s="95">
        <f>IF(Doubles!P108="",0,Doubles!P108)</f>
        <v>0</v>
      </c>
      <c r="C801" s="99" t="str">
        <f>IF(OR(LEFT(B801,LEN(B$19))=B$19,LEFT(B801,LEN(C$19))=C$19,LEN(B801)&lt;2),"",IF(B801="no pick","","Wrong pick"))</f>
        <v/>
      </c>
      <c r="E801" s="95">
        <f t="shared" si="300"/>
        <v>0</v>
      </c>
      <c r="G801" s="95" t="str">
        <f>IF(B801=0,"",IF(B801="no pick","No Pick",IF(LEFT(B801,LEN(B$19))=B$19,B$19,C$19)))</f>
        <v/>
      </c>
      <c r="H801" s="95" t="str">
        <f t="shared" si="301"/>
        <v>0-0</v>
      </c>
      <c r="J801" s="95">
        <f>D$19</f>
        <v>0</v>
      </c>
      <c r="K801" s="95" t="str">
        <f t="shared" si="302"/>
        <v>SR</v>
      </c>
      <c r="L801" s="95" t="str">
        <f t="shared" si="303"/>
        <v>0</v>
      </c>
      <c r="M801" s="95" t="str">
        <f t="shared" si="304"/>
        <v>0</v>
      </c>
      <c r="N801" s="95" t="str">
        <f t="shared" si="305"/>
        <v>0</v>
      </c>
      <c r="O801" s="95" t="str">
        <f t="shared" si="306"/>
        <v>0</v>
      </c>
      <c r="P801" s="95" t="str">
        <f t="shared" si="307"/>
        <v>0</v>
      </c>
      <c r="Q801" s="95">
        <f>IF(AND(G801=T$19,LEN(G801)&gt;1),1,0)</f>
        <v>0</v>
      </c>
      <c r="R801" s="97">
        <f>Doubles!G$19</f>
        <v>18</v>
      </c>
      <c r="S801" s="95">
        <f>IF(AND(H801=H$19,LEN(H801)&gt;1,Q801=1),1,0)</f>
        <v>0</v>
      </c>
      <c r="V801" s="97">
        <f>VLOOKUP(18,R784:S807,2,0)</f>
        <v>0</v>
      </c>
      <c r="W801" s="95">
        <v>18</v>
      </c>
    </row>
    <row r="802" spans="1:29">
      <c r="A802" s="95">
        <v>19</v>
      </c>
      <c r="B802" s="95">
        <f>IF(Doubles!P109="",0,Doubles!P109)</f>
        <v>0</v>
      </c>
      <c r="C802" s="99" t="str">
        <f>IF(OR(LEFT(B802,LEN(B$20))=B$20,LEFT(B802,LEN(C$20))=C$20,LEN(B802)&lt;2),"",IF(B802="no pick","","Wrong pick"))</f>
        <v/>
      </c>
      <c r="E802" s="95">
        <f t="shared" si="300"/>
        <v>0</v>
      </c>
      <c r="G802" s="95" t="str">
        <f>IF(B802=0,"",IF(B802="no pick","No Pick",IF(LEFT(B802,LEN(B$20))=B$20,B$20,C$20)))</f>
        <v/>
      </c>
      <c r="H802" s="95" t="str">
        <f t="shared" si="301"/>
        <v>0-0</v>
      </c>
      <c r="J802" s="95">
        <f>D$20</f>
        <v>0</v>
      </c>
      <c r="K802" s="95" t="str">
        <f t="shared" si="302"/>
        <v>SR</v>
      </c>
      <c r="L802" s="95" t="str">
        <f t="shared" si="303"/>
        <v>0</v>
      </c>
      <c r="M802" s="95" t="str">
        <f t="shared" si="304"/>
        <v>0</v>
      </c>
      <c r="N802" s="95" t="str">
        <f t="shared" si="305"/>
        <v>0</v>
      </c>
      <c r="O802" s="95" t="str">
        <f t="shared" si="306"/>
        <v>0</v>
      </c>
      <c r="P802" s="95" t="str">
        <f t="shared" si="307"/>
        <v>0</v>
      </c>
      <c r="Q802" s="95">
        <f>IF(AND(G802=T$20,LEN(G802)&gt;1),1,0)</f>
        <v>0</v>
      </c>
      <c r="R802" s="97">
        <f>Doubles!G$20</f>
        <v>19</v>
      </c>
      <c r="S802" s="95">
        <f>IF(AND(H802=H$20,LEN(H802)&gt;1,Q802=1),1,0)</f>
        <v>0</v>
      </c>
      <c r="V802" s="97">
        <f>VLOOKUP(19,R784:S807,2,0)</f>
        <v>0</v>
      </c>
      <c r="W802" s="95">
        <v>19</v>
      </c>
    </row>
    <row r="803" spans="1:29">
      <c r="A803" s="95">
        <v>20</v>
      </c>
      <c r="B803" s="95">
        <f>IF(Doubles!P110="",0,Doubles!P110)</f>
        <v>0</v>
      </c>
      <c r="C803" s="99" t="str">
        <f>IF(OR(LEFT(B803,LEN(B$21))=B$21,LEFT(B803,LEN(C$21))=C$21,LEN(B803)&lt;2),"",IF(B803="no pick","","Wrong pick"))</f>
        <v/>
      </c>
      <c r="E803" s="95">
        <f t="shared" si="300"/>
        <v>0</v>
      </c>
      <c r="G803" s="95" t="str">
        <f>IF(B803=0,"",IF(B803="no pick","No Pick",IF(LEFT(B803,LEN(B$21))=B$21,B$21,C$21)))</f>
        <v/>
      </c>
      <c r="H803" s="95" t="str">
        <f t="shared" si="301"/>
        <v>0-0</v>
      </c>
      <c r="J803" s="95">
        <f>D$21</f>
        <v>0</v>
      </c>
      <c r="K803" s="95" t="str">
        <f t="shared" si="302"/>
        <v>SR</v>
      </c>
      <c r="L803" s="95" t="str">
        <f t="shared" si="303"/>
        <v>0</v>
      </c>
      <c r="M803" s="95" t="str">
        <f t="shared" si="304"/>
        <v>0</v>
      </c>
      <c r="N803" s="95" t="str">
        <f t="shared" si="305"/>
        <v>0</v>
      </c>
      <c r="O803" s="95" t="str">
        <f t="shared" si="306"/>
        <v>0</v>
      </c>
      <c r="P803" s="95" t="str">
        <f t="shared" si="307"/>
        <v>0</v>
      </c>
      <c r="Q803" s="95">
        <f>IF(AND(G803=T$21,LEN(G803)&gt;1),1,0)</f>
        <v>0</v>
      </c>
      <c r="R803" s="97">
        <f>Doubles!G$21</f>
        <v>20</v>
      </c>
      <c r="S803" s="95">
        <f>IF(AND(H803=H$21,LEN(H803)&gt;1,Q803=1),1,0)</f>
        <v>0</v>
      </c>
      <c r="V803" s="97">
        <f>VLOOKUP(20,R784:S807,2,0)</f>
        <v>0</v>
      </c>
      <c r="W803" s="95">
        <v>20</v>
      </c>
    </row>
    <row r="804" spans="1:29">
      <c r="A804" s="95">
        <v>21</v>
      </c>
      <c r="B804" s="95">
        <f>IF(Doubles!P111="",0,Doubles!P111)</f>
        <v>0</v>
      </c>
      <c r="C804" s="99" t="str">
        <f>IF(OR(LEFT(B804,LEN(B$22))=B$22,LEFT(B804,LEN(C$22))=C$22,LEN(B804)&lt;2),"",IF(B804="no pick","","Wrong pick"))</f>
        <v/>
      </c>
      <c r="E804" s="95">
        <f t="shared" si="300"/>
        <v>0</v>
      </c>
      <c r="G804" s="95" t="str">
        <f>IF(B804=0,"",IF(B804="no pick","No Pick",IF(LEFT(B804,LEN(B$22))=B$22,B$22,C$22)))</f>
        <v/>
      </c>
      <c r="H804" s="95" t="str">
        <f t="shared" si="301"/>
        <v>0-0</v>
      </c>
      <c r="J804" s="95">
        <f>D$22</f>
        <v>0</v>
      </c>
      <c r="K804" s="95" t="str">
        <f t="shared" si="302"/>
        <v>SR</v>
      </c>
      <c r="L804" s="95" t="str">
        <f t="shared" si="303"/>
        <v>0</v>
      </c>
      <c r="M804" s="95" t="str">
        <f t="shared" si="304"/>
        <v>0</v>
      </c>
      <c r="N804" s="95" t="str">
        <f t="shared" si="305"/>
        <v>0</v>
      </c>
      <c r="O804" s="95" t="str">
        <f t="shared" si="306"/>
        <v>0</v>
      </c>
      <c r="P804" s="95" t="str">
        <f t="shared" si="307"/>
        <v>0</v>
      </c>
      <c r="Q804" s="95">
        <f>IF(AND(G804=T$22,LEN(G804)&gt;1),1,0)</f>
        <v>0</v>
      </c>
      <c r="R804" s="97">
        <f>Doubles!G$22</f>
        <v>21</v>
      </c>
      <c r="S804" s="95">
        <f>IF(AND(H804=H$22,LEN(H804)&gt;1,Q804=1),1,0)</f>
        <v>0</v>
      </c>
      <c r="V804" s="97">
        <f>VLOOKUP(21,R784:S807,2,0)</f>
        <v>0</v>
      </c>
      <c r="W804" s="95">
        <v>21</v>
      </c>
    </row>
    <row r="805" spans="1:29">
      <c r="A805" s="95">
        <v>22</v>
      </c>
      <c r="B805" s="95">
        <f>IF(Doubles!P112="",0,Doubles!P112)</f>
        <v>0</v>
      </c>
      <c r="C805" s="99" t="str">
        <f>IF(OR(LEFT(B805,LEN(B$23))=B$23,LEFT(B805,LEN(C$23))=C$23,LEN(B805)&lt;2),"",IF(B805="no pick","","Wrong pick"))</f>
        <v/>
      </c>
      <c r="E805" s="95">
        <f t="shared" si="300"/>
        <v>0</v>
      </c>
      <c r="G805" s="95" t="str">
        <f>IF(B805=0,"",IF(B805="no pick","No Pick",IF(LEFT(B805,LEN(B$23))=B$23,B$23,C$23)))</f>
        <v/>
      </c>
      <c r="H805" s="95" t="str">
        <f t="shared" si="301"/>
        <v>0-0</v>
      </c>
      <c r="J805" s="95">
        <f>D$23</f>
        <v>0</v>
      </c>
      <c r="K805" s="95" t="str">
        <f t="shared" si="302"/>
        <v>SR</v>
      </c>
      <c r="L805" s="95" t="str">
        <f t="shared" si="303"/>
        <v>0</v>
      </c>
      <c r="M805" s="95" t="str">
        <f t="shared" si="304"/>
        <v>0</v>
      </c>
      <c r="N805" s="95" t="str">
        <f t="shared" si="305"/>
        <v>0</v>
      </c>
      <c r="O805" s="95" t="str">
        <f t="shared" si="306"/>
        <v>0</v>
      </c>
      <c r="P805" s="95" t="str">
        <f t="shared" si="307"/>
        <v>0</v>
      </c>
      <c r="Q805" s="95">
        <f>IF(AND(G805=T$23,LEN(G805)&gt;1),1,0)</f>
        <v>0</v>
      </c>
      <c r="R805" s="97">
        <f>Doubles!G$23</f>
        <v>22</v>
      </c>
      <c r="S805" s="95">
        <f>IF(AND(H805=H$23,LEN(H805)&gt;1,Q805=1),1,0)</f>
        <v>0</v>
      </c>
      <c r="V805" s="97">
        <f>VLOOKUP(22,R784:S807,2,0)</f>
        <v>0</v>
      </c>
      <c r="W805" s="95">
        <v>22</v>
      </c>
    </row>
    <row r="806" spans="1:29">
      <c r="A806" s="95">
        <v>23</v>
      </c>
      <c r="B806" s="95">
        <f>IF(Doubles!P113="",0,Doubles!P113)</f>
        <v>0</v>
      </c>
      <c r="C806" s="99" t="str">
        <f>IF(OR(LEFT(B806,LEN(B$24))=B$24,LEFT(B806,LEN(C$24))=C$24,LEN(B806)&lt;2),"",IF(B806="no pick","","Wrong pick"))</f>
        <v/>
      </c>
      <c r="E806" s="95">
        <f t="shared" si="300"/>
        <v>0</v>
      </c>
      <c r="G806" s="95" t="str">
        <f>IF(B806=0,"",IF(B806="no pick","No Pick",IF(LEFT(B806,LEN(B$24))=B$24,B$24,C$24)))</f>
        <v/>
      </c>
      <c r="H806" s="95" t="str">
        <f t="shared" si="301"/>
        <v>0-0</v>
      </c>
      <c r="J806" s="95">
        <f>D$24</f>
        <v>0</v>
      </c>
      <c r="K806" s="95" t="str">
        <f t="shared" si="302"/>
        <v>SR</v>
      </c>
      <c r="L806" s="95" t="str">
        <f t="shared" si="303"/>
        <v>0</v>
      </c>
      <c r="M806" s="95" t="str">
        <f t="shared" si="304"/>
        <v>0</v>
      </c>
      <c r="N806" s="95" t="str">
        <f t="shared" si="305"/>
        <v>0</v>
      </c>
      <c r="O806" s="95" t="str">
        <f t="shared" si="306"/>
        <v>0</v>
      </c>
      <c r="P806" s="95" t="str">
        <f t="shared" si="307"/>
        <v>0</v>
      </c>
      <c r="Q806" s="95">
        <f>IF(AND(G806=T$24,LEN(G806)&gt;1),1,0)</f>
        <v>0</v>
      </c>
      <c r="R806" s="97">
        <f>Doubles!G$24</f>
        <v>23</v>
      </c>
      <c r="S806" s="95">
        <f>IF(AND(H806=H$24,LEN(H806)&gt;1,Q806=1),1,0)</f>
        <v>0</v>
      </c>
      <c r="V806" s="97">
        <f>VLOOKUP(23,R784:S807,2,0)</f>
        <v>0</v>
      </c>
      <c r="W806" s="95">
        <v>23</v>
      </c>
    </row>
    <row r="807" spans="1:29">
      <c r="A807" s="95">
        <v>24</v>
      </c>
      <c r="B807" s="95">
        <f>IF(Doubles!P114="",0,Doubles!P114)</f>
        <v>0</v>
      </c>
      <c r="C807" s="99" t="str">
        <f>IF(OR(LEFT(B807,LEN(B$25))=B$25,LEFT(B807,LEN(C$25))=C$25,LEN(B807)&lt;2),"",IF(B807="no pick","","Wrong pick"))</f>
        <v/>
      </c>
      <c r="E807" s="95">
        <f t="shared" si="300"/>
        <v>0</v>
      </c>
      <c r="G807" s="95" t="str">
        <f>IF(B807=0,"",IF(B807="no pick","No Pick",IF(LEFT(B807,LEN(B$25))=B$25,B$25,C$25)))</f>
        <v/>
      </c>
      <c r="H807" s="95" t="str">
        <f t="shared" si="301"/>
        <v>0-0</v>
      </c>
      <c r="J807" s="95">
        <f>D$25</f>
        <v>0</v>
      </c>
      <c r="K807" s="95" t="str">
        <f t="shared" si="302"/>
        <v>SR</v>
      </c>
      <c r="L807" s="95" t="str">
        <f t="shared" si="303"/>
        <v>0</v>
      </c>
      <c r="M807" s="95" t="str">
        <f t="shared" si="304"/>
        <v>0</v>
      </c>
      <c r="N807" s="95" t="str">
        <f t="shared" si="305"/>
        <v>0</v>
      </c>
      <c r="O807" s="95" t="str">
        <f t="shared" si="306"/>
        <v>0</v>
      </c>
      <c r="P807" s="95" t="str">
        <f t="shared" si="307"/>
        <v>0</v>
      </c>
      <c r="Q807" s="95">
        <f>IF(AND(G807=T$25,LEN(G807)&gt;1),1,0)</f>
        <v>0</v>
      </c>
      <c r="R807" s="97">
        <f>Doubles!G$25</f>
        <v>24</v>
      </c>
      <c r="S807" s="95">
        <f>IF(AND(H807=H$25,LEN(H807)&gt;1,Q807=1),1,0)</f>
        <v>0</v>
      </c>
      <c r="V807" s="97">
        <f>VLOOKUP(24,R784:S807,2,0)</f>
        <v>0</v>
      </c>
      <c r="W807" s="95">
        <v>24</v>
      </c>
    </row>
    <row r="808" spans="1:29">
      <c r="L808" s="98" t="s">
        <v>120</v>
      </c>
      <c r="W808" s="95">
        <v>25</v>
      </c>
    </row>
    <row r="809" spans="1:29">
      <c r="A809" s="95" t="e">
        <f>IF(LEN(VLOOKUP(B809,Doubles!$B$2:$D$17,3,0))&gt;0,VLOOKUP(B809,Doubles!$B$2:$D$17,3,0),"")</f>
        <v>#N/A</v>
      </c>
      <c r="B809" s="96">
        <f>Doubles!O90</f>
        <v>0</v>
      </c>
      <c r="C809" s="96">
        <v>3</v>
      </c>
      <c r="D809" s="95" t="e">
        <f>VLOOKUP(B809,Doubles!$B$2:$F$17,5,0)</f>
        <v>#N/A</v>
      </c>
      <c r="J809" s="95" t="s">
        <v>88</v>
      </c>
      <c r="Q809" s="95" t="s">
        <v>121</v>
      </c>
      <c r="S809" s="95" t="s">
        <v>122</v>
      </c>
      <c r="T809" s="95">
        <f>B809</f>
        <v>0</v>
      </c>
      <c r="V809" s="95" t="s">
        <v>122</v>
      </c>
    </row>
    <row r="810" spans="1:29">
      <c r="A810" s="95">
        <v>1</v>
      </c>
      <c r="B810" s="95">
        <f ca="1">IF(Doubles!O91="",0,Doubles!O91)</f>
        <v>0</v>
      </c>
      <c r="C810" s="99" t="str">
        <f ca="1">IF(OR(LEFT(B810,LEN(B$2))=B$2,LEFT(B810,LEN(C$2))=C$2,LEN(B810)&lt;2),"",IF(B810="no pick","","Wrong pick"))</f>
        <v/>
      </c>
      <c r="D810" s="95">
        <f t="shared" ref="D810:D833" ca="1" si="308">IF(G810=G836,0,1)</f>
        <v>0</v>
      </c>
      <c r="E810" s="95">
        <f t="shared" ref="E810:E833" ca="1" si="309">IF(AND($I$2=J810,B810=0),1,0)</f>
        <v>1</v>
      </c>
      <c r="F810" s="95" t="str">
        <f ca="1">IF(AND(SUM(E810:E833)=$I$4,NOT(B809="Bye")),"Missing picks from "&amp;B809&amp;" ","")</f>
        <v xml:space="preserve">Missing picks from 0 </v>
      </c>
      <c r="G810" s="95" t="str">
        <f ca="1">IF(B810=0,"",IF(B810="no pick","No Pick",IF(LEFT(B810,LEN(B$2))=B$2,B$2,C$2)))</f>
        <v/>
      </c>
      <c r="H810" s="95" t="str">
        <f t="shared" ref="H810:H833" ca="1" si="310">IF(L810="","",IF(K810="PTS",IF(LEN(O810)&lt;8,"2-0","2-1"),LEFT(O810,1)&amp;"-"&amp;RIGHT(O810,1)))</f>
        <v>0-0</v>
      </c>
      <c r="I810" s="95" t="str">
        <f>IF(AND(J810=$I$2,F$2=0,NOT(E$2="")),IF(OR(AND(Y810=AA810,Z810=AB810),AND(Y810=AB810,Z810=AA810)),"",IF(AND(Y810=Z810,AA810=AB810),Y810&amp;" +2 v. "&amp;AA810&amp;" +2, ",IF(Y810=AA810,Z810&amp;" v. "&amp;AB810&amp;", ",IF(Z810=AB810,Y810&amp;" v. "&amp;AA810&amp;", ",IF(Y810=AB810,Z810&amp;" v. "&amp;AA810&amp;", ",IF(Z810=AA810,Y810&amp;" v. "&amp;AB810&amp;", ",Y810&amp;" v. "&amp;AA810&amp;", "&amp;Z810&amp;" v. "&amp;AB810&amp;", ")))))),"")</f>
        <v/>
      </c>
      <c r="J810" s="97">
        <f>D$2</f>
        <v>1</v>
      </c>
      <c r="K810" s="95" t="str">
        <f t="shared" ref="K810:K833" ca="1" si="311">IF(LEN(L810)&gt;0,IF(LEN(O810)&lt;4,"SR","PTS"),"")</f>
        <v>SR</v>
      </c>
      <c r="L810" s="95" t="str">
        <f t="shared" ref="L810:L833" ca="1" si="312">TRIM(RIGHT(B810,LEN(B810)-LEN(G810)))</f>
        <v>0</v>
      </c>
      <c r="M810" s="95" t="str">
        <f t="shared" ref="M810:M833" ca="1" si="313">SUBSTITUTE(L810,"-","")</f>
        <v>0</v>
      </c>
      <c r="N810" s="95" t="str">
        <f t="shared" ref="N810:N833" ca="1" si="314">SUBSTITUTE(M810,","," ")</f>
        <v>0</v>
      </c>
      <c r="O810" s="95" t="str">
        <f t="shared" ref="O810:O833" ca="1" si="315">IF(AND(LEN(TRIM(SUBSTITUTE(P810,"/","")))&gt;6,OR(LEFT(TRIM(SUBSTITUTE(P810,"/","")),2)="20",LEFT(TRIM(SUBSTITUTE(P810,"/","")),2)="21")),RIGHT(TRIM(SUBSTITUTE(P810,"/","")),LEN(TRIM(SUBSTITUTE(P810,"/","")))-3),TRIM(SUBSTITUTE(P810,"/","")))</f>
        <v>0</v>
      </c>
      <c r="P810" s="95" t="str">
        <f t="shared" ref="P810:P833" ca="1" si="316">SUBSTITUTE(N810,":","")</f>
        <v>0</v>
      </c>
      <c r="Q810" s="95">
        <f ca="1">IF(AND(G810=T$2,LEN(G810)&gt;1),1,0)</f>
        <v>0</v>
      </c>
      <c r="R810" s="97">
        <f>Doubles!G$2</f>
        <v>1</v>
      </c>
      <c r="S810" s="95">
        <f ca="1">IF(AND(H810=H$2,LEN(H810)&gt;1,Q810=1),1,0)</f>
        <v>0</v>
      </c>
      <c r="T810" s="95" t="str">
        <f>" SR Differences: "&amp;IF(LEN(I810&amp;I811&amp;I812&amp;I813&amp;I814&amp;I815&amp;I816&amp;I817&amp;I818&amp;I819&amp;I820&amp;I821&amp;I822&amp;I823&amp;I824&amp;I825)&lt;3,"None..",I810&amp;I811&amp;I812&amp;I813&amp;I814&amp;I815&amp;I816&amp;I817&amp;I818&amp;I819&amp;I820&amp;I821&amp;I822&amp;I823&amp;I824&amp;I825)</f>
        <v xml:space="preserve"> SR Differences: None..</v>
      </c>
      <c r="V810" s="97">
        <f ca="1">VLOOKUP(1,R810:S833,2,0)</f>
        <v>0</v>
      </c>
      <c r="W810" s="95" t="str">
        <f t="shared" ref="W810:W833" ca="1" si="317">IF(J758=$I$2,IF(OR(G758&amp;G810=G784&amp;G836,G758&amp;G810=G836&amp;G784),"",IF(G784=G836,G784,IF(OR(G758=G784,G784=G810),G836,IF(OR(G836=G758,G810=G836),G784,G784&amp;", "&amp;G836)))),"")</f>
        <v/>
      </c>
      <c r="X810" s="95">
        <f ca="1">IF(F$2=0,IF(AND(G784=G836,NOT(G758=G784),NOT(G810=G836),LEN(W758)&gt;0),2,IF(LEN(W758)=0,0,1)),0)</f>
        <v>0</v>
      </c>
      <c r="AC810" s="95" t="str">
        <f ca="1">IF(AND(LEN(W810)&gt;0,F$2=0),IF(X810=2,W810&amp;" +2, ",W810&amp;", "),"")</f>
        <v/>
      </c>
    </row>
    <row r="811" spans="1:29">
      <c r="A811" s="95">
        <v>2</v>
      </c>
      <c r="B811" s="95">
        <f ca="1">IF(Doubles!O92="",0,Doubles!O92)</f>
        <v>0</v>
      </c>
      <c r="C811" s="99" t="str">
        <f ca="1">IF(OR(LEFT(B811,LEN(B$3))=B$3,LEFT(B811,LEN(C$3))=C$3,LEN(B811)&lt;2),"",IF(B811="no pick","","Wrong pick"))</f>
        <v/>
      </c>
      <c r="D811" s="95">
        <f t="shared" ca="1" si="308"/>
        <v>0</v>
      </c>
      <c r="E811" s="95">
        <f t="shared" ca="1" si="309"/>
        <v>1</v>
      </c>
      <c r="G811" s="95" t="str">
        <f ca="1">IF(B811=0,"",IF(B811="no pick","No Pick",IF(LEFT(B811,LEN(B$3))=B$3,B$3,C$3)))</f>
        <v/>
      </c>
      <c r="H811" s="95" t="str">
        <f t="shared" ca="1" si="310"/>
        <v>0-0</v>
      </c>
      <c r="I811" s="95" t="str">
        <f>IF(AND(J811=$I$2,F$3=0,NOT(E$3="")),IF(OR(AND(Y811=AA811,Z811=AB811),AND(Y811=AB811,Z811=AA811)),"",IF(AND(Y811=Z811,AA811=AB811),Y811&amp;" +2 v. "&amp;AA811&amp;" +2, ",IF(Y811=AA811,Z811&amp;" v. "&amp;AB811&amp;", ",IF(Z811=AB811,Y811&amp;" v. "&amp;AA811&amp;", ",IF(Y811=AB811,Z811&amp;" v. "&amp;AA811&amp;", ",IF(Z811=AA811,Y811&amp;" v. "&amp;AB811&amp;", ",Y811&amp;" v. "&amp;AA811&amp;", "&amp;Z811&amp;" v. "&amp;AB811&amp;", ")))))),"")</f>
        <v/>
      </c>
      <c r="J811" s="97">
        <f>D$3</f>
        <v>1</v>
      </c>
      <c r="K811" s="95" t="str">
        <f t="shared" ca="1" si="311"/>
        <v>SR</v>
      </c>
      <c r="L811" s="95" t="str">
        <f t="shared" ca="1" si="312"/>
        <v>0</v>
      </c>
      <c r="M811" s="95" t="str">
        <f t="shared" ca="1" si="313"/>
        <v>0</v>
      </c>
      <c r="N811" s="95" t="str">
        <f t="shared" ca="1" si="314"/>
        <v>0</v>
      </c>
      <c r="O811" s="95" t="str">
        <f t="shared" ca="1" si="315"/>
        <v>0</v>
      </c>
      <c r="P811" s="95" t="str">
        <f t="shared" ca="1" si="316"/>
        <v>0</v>
      </c>
      <c r="Q811" s="95">
        <f ca="1">IF(AND(G811=T$3,LEN(G811)&gt;1),1,0)</f>
        <v>0</v>
      </c>
      <c r="R811" s="97">
        <f>Doubles!G$3</f>
        <v>2</v>
      </c>
      <c r="S811" s="95">
        <f ca="1">IF(AND(H811=H$3,LEN(H811)&gt;1,Q811=1),1,0)</f>
        <v>0</v>
      </c>
      <c r="T811" s="95" t="str">
        <f ca="1">IF(T812&gt;0,LEFT(E810,LEN(E810)-2)&amp;" vs. "&amp;LEFT(E836,LEN(E836)-2),"Same winners;")</f>
        <v>Same winners;</v>
      </c>
      <c r="V811" s="97">
        <f ca="1">VLOOKUP(2,R810:S833,2,0)</f>
        <v>0</v>
      </c>
      <c r="W811" s="95" t="str">
        <f t="shared" ca="1" si="317"/>
        <v/>
      </c>
      <c r="X811" s="95">
        <f ca="1">IF(F$3=0,IF(AND(G785=G837,NOT(G759=G785),NOT(G811=G837),LEN(W759)&gt;0),2,IF(LEN(W759)=0,0,1)),0)</f>
        <v>0</v>
      </c>
      <c r="AC811" s="95" t="str">
        <f ca="1">IF(AND(LEN(W811)&gt;0,F$3=0),IF(X811=2,W811&amp;" +2, ",W811&amp;", "),"")</f>
        <v/>
      </c>
    </row>
    <row r="812" spans="1:29">
      <c r="A812" s="95">
        <v>3</v>
      </c>
      <c r="B812" s="95">
        <f ca="1">IF(Doubles!O93="",0,Doubles!O93)</f>
        <v>0</v>
      </c>
      <c r="C812" s="99" t="str">
        <f ca="1">IF(OR(LEFT(B812,LEN(B$4))=B$4,LEFT(B812,LEN(C$4))=C$4,LEN(B812)&lt;2),"",IF(B812="no pick","","Wrong pick"))</f>
        <v/>
      </c>
      <c r="D812" s="95">
        <f t="shared" ca="1" si="308"/>
        <v>0</v>
      </c>
      <c r="E812" s="95">
        <f t="shared" ca="1" si="309"/>
        <v>1</v>
      </c>
      <c r="G812" s="95" t="str">
        <f ca="1">IF(B812=0,"",IF(B812="no pick","No Pick",IF(LEFT(B812,LEN(B$4))=B$4,B$4,C$4)))</f>
        <v/>
      </c>
      <c r="H812" s="95" t="str">
        <f t="shared" ca="1" si="310"/>
        <v>0-0</v>
      </c>
      <c r="I812" s="95" t="str">
        <f>IF(AND(J812=$I$2,F$4=0,NOT(E$4="")),IF(OR(AND(Y812=AA812,Z812=AB812),AND(Y812=AB812,Z812=AA812)),"",IF(AND(Y812=Z812,AA812=AB812),Y812&amp;" +2 v. "&amp;AA812&amp;" +2, ",IF(Y812=AA812,Z812&amp;" v. "&amp;AB812&amp;", ",IF(Z812=AB812,Y812&amp;" v. "&amp;AA812&amp;", ",IF(Y812=AB812,Z812&amp;" v. "&amp;AA812&amp;", ",IF(Z812=AA812,Y812&amp;" v. "&amp;AB812&amp;", ",Y812&amp;" v. "&amp;AA812&amp;", "&amp;Z812&amp;" v. "&amp;AB812&amp;", ")))))),"")</f>
        <v/>
      </c>
      <c r="J812" s="97">
        <f>D$4</f>
        <v>1</v>
      </c>
      <c r="K812" s="95" t="str">
        <f t="shared" ca="1" si="311"/>
        <v>SR</v>
      </c>
      <c r="L812" s="95" t="str">
        <f t="shared" ca="1" si="312"/>
        <v>0</v>
      </c>
      <c r="M812" s="95" t="str">
        <f t="shared" ca="1" si="313"/>
        <v>0</v>
      </c>
      <c r="N812" s="95" t="str">
        <f t="shared" ca="1" si="314"/>
        <v>0</v>
      </c>
      <c r="O812" s="95" t="str">
        <f t="shared" ca="1" si="315"/>
        <v>0</v>
      </c>
      <c r="P812" s="95" t="str">
        <f t="shared" ca="1" si="316"/>
        <v>0</v>
      </c>
      <c r="Q812" s="95">
        <f ca="1">IF(AND(G812=T$4,LEN(G812)&gt;1),1,0)</f>
        <v>0</v>
      </c>
      <c r="R812" s="97">
        <f>Doubles!G$4</f>
        <v>3</v>
      </c>
      <c r="S812" s="95">
        <f ca="1">IF(AND(H812=H$4,LEN(H812)&gt;1,Q812=1),1,0)</f>
        <v>0</v>
      </c>
      <c r="T812" s="101">
        <f ca="1">SUMIF(J810:J825,$I$2,D810:D825)</f>
        <v>0</v>
      </c>
      <c r="V812" s="97">
        <f ca="1">VLOOKUP(3,R810:S833,2,0)</f>
        <v>0</v>
      </c>
      <c r="W812" s="95" t="str">
        <f t="shared" ca="1" si="317"/>
        <v/>
      </c>
      <c r="X812" s="95">
        <f ca="1">IF(F$4=0,IF(AND(G786=G838,NOT(G760=G786),NOT(G812=G838),LEN(W760)&gt;0),2,IF(LEN(W760)=0,0,1)),0)</f>
        <v>0</v>
      </c>
      <c r="AC812" s="95" t="str">
        <f ca="1">IF(AND(LEN(W812)&gt;0,F$4=0),IF(X812=2,W812&amp;" +2, ",W812&amp;", "),"")</f>
        <v/>
      </c>
    </row>
    <row r="813" spans="1:29">
      <c r="A813" s="95">
        <v>4</v>
      </c>
      <c r="B813" s="95">
        <f ca="1">IF(Doubles!O94="",0,Doubles!O94)</f>
        <v>0</v>
      </c>
      <c r="C813" s="99" t="str">
        <f ca="1">IF(OR(LEFT(B813,LEN(B$5))=B$5,LEFT(B813,LEN(C$5))=C$5,LEN(B813)&lt;2),"",IF(B813="no pick","","Wrong pick"))</f>
        <v/>
      </c>
      <c r="D813" s="95">
        <f t="shared" ca="1" si="308"/>
        <v>0</v>
      </c>
      <c r="E813" s="95">
        <f t="shared" ca="1" si="309"/>
        <v>1</v>
      </c>
      <c r="G813" s="95" t="str">
        <f ca="1">IF(B813=0,"",IF(B813="no pick","No Pick",IF(LEFT(B813,LEN(B$5))=B$5,B$5,C$5)))</f>
        <v/>
      </c>
      <c r="H813" s="95" t="str">
        <f t="shared" ca="1" si="310"/>
        <v>0-0</v>
      </c>
      <c r="I813" s="95" t="str">
        <f>IF(AND(J813=$I$2,F$5=0,NOT(E$5="")),IF(OR(AND(Y813=AA813,Z813=AB813),AND(Y813=AB813,Z813=AA813)),"",IF(AND(Y813=Z813,AA813=AB813),Y813&amp;" +2 v. "&amp;AA813&amp;" +2, ",IF(Y813=AA813,Z813&amp;" v. "&amp;AB813&amp;", ",IF(Z813=AB813,Y813&amp;" v. "&amp;AA813&amp;", ",IF(Y813=AB813,Z813&amp;" v. "&amp;AA813&amp;", ",IF(Z813=AA813,Y813&amp;" v. "&amp;AB813&amp;", ",Y813&amp;" v. "&amp;AA813&amp;", "&amp;Z813&amp;" v. "&amp;AB813&amp;", ")))))),"")</f>
        <v/>
      </c>
      <c r="J813" s="97">
        <f>D$5</f>
        <v>1</v>
      </c>
      <c r="K813" s="95" t="str">
        <f t="shared" ca="1" si="311"/>
        <v>SR</v>
      </c>
      <c r="L813" s="95" t="str">
        <f t="shared" ca="1" si="312"/>
        <v>0</v>
      </c>
      <c r="M813" s="95" t="str">
        <f t="shared" ca="1" si="313"/>
        <v>0</v>
      </c>
      <c r="N813" s="95" t="str">
        <f t="shared" ca="1" si="314"/>
        <v>0</v>
      </c>
      <c r="O813" s="95" t="str">
        <f t="shared" ca="1" si="315"/>
        <v>0</v>
      </c>
      <c r="P813" s="95" t="str">
        <f t="shared" ca="1" si="316"/>
        <v>0</v>
      </c>
      <c r="Q813" s="95">
        <f ca="1">IF(AND(G813=T$5,LEN(G813)&gt;1),1,0)</f>
        <v>0</v>
      </c>
      <c r="R813" s="97">
        <f>Doubles!G$5</f>
        <v>4</v>
      </c>
      <c r="S813" s="95">
        <f ca="1">IF(AND(H813=H$5,LEN(H813)&gt;1,Q813=1),1,0)</f>
        <v>0</v>
      </c>
      <c r="U813" s="95" t="str">
        <f ca="1">AC758&amp;AC759&amp;AC760&amp;AC761&amp;AC762&amp;AC763&amp;AC764&amp;AC765&amp;AC766&amp;AC767&amp;AC768&amp;AC769&amp;AC770&amp;AC771&amp;AC772&amp;AC773&amp;AC774&amp;AC775&amp;AC776&amp;AC777&amp;AC778&amp;AC779&amp;AC780&amp;AC781</f>
        <v/>
      </c>
      <c r="V813" s="97">
        <f ca="1">VLOOKUP(4,R810:S833,2,0)</f>
        <v>0</v>
      </c>
      <c r="W813" s="95" t="str">
        <f t="shared" ca="1" si="317"/>
        <v/>
      </c>
      <c r="X813" s="95">
        <f ca="1">IF(F$5=0,IF(AND(G787=G839,NOT(G761=G787),NOT(G813=G839),LEN(W761)&gt;0),2,IF(LEN(W761)=0,0,1)),0)</f>
        <v>0</v>
      </c>
      <c r="AC813" s="95" t="str">
        <f ca="1">IF(AND(LEN(W813)&gt;0,F$5=0),IF(X813=2,W813&amp;" +2, ",W813&amp;", "),"")</f>
        <v/>
      </c>
    </row>
    <row r="814" spans="1:29">
      <c r="A814" s="95">
        <v>5</v>
      </c>
      <c r="B814" s="95">
        <f ca="1">IF(Doubles!O95="",0,Doubles!O95)</f>
        <v>0</v>
      </c>
      <c r="C814" s="99" t="str">
        <f ca="1">IF(OR(LEFT(B814,LEN(B$6))=B$6,LEFT(B814,LEN(C$6))=C$6,LEN(B814)&lt;2),"",IF(B814="no pick","","Wrong pick"))</f>
        <v/>
      </c>
      <c r="D814" s="95">
        <f t="shared" ca="1" si="308"/>
        <v>0</v>
      </c>
      <c r="E814" s="95">
        <f t="shared" ca="1" si="309"/>
        <v>1</v>
      </c>
      <c r="G814" s="95" t="str">
        <f ca="1">IF(B814=0,"",IF(B814="no pick","No Pick",IF(LEFT(B814,LEN(B$6))=B$6,B$6,C$6)))</f>
        <v/>
      </c>
      <c r="H814" s="95" t="str">
        <f t="shared" ca="1" si="310"/>
        <v>0-0</v>
      </c>
      <c r="I814" s="95" t="str">
        <f>IF(AND(J814=$I$2,F$6=0,NOT(E$6="")),IF(OR(AND(Y814=AA814,Z814=AB814),AND(Y814=AB814,Z814=AA814)),"",IF(AND(Y814=Z814,AA814=AB814),Y814&amp;" +2 v. "&amp;AA814&amp;" +2, ",IF(Y814=AA814,Z814&amp;" v. "&amp;AB814&amp;", ",IF(Z814=AB814,Y814&amp;" v. "&amp;AA814&amp;", ",IF(Y814=AB814,Z814&amp;" v. "&amp;AA814&amp;", ",IF(Z814=AA814,Y814&amp;" v. "&amp;AB814&amp;", ",Y814&amp;" v. "&amp;AA814&amp;", "&amp;Z814&amp;" v. "&amp;AB814&amp;", ")))))),"")</f>
        <v/>
      </c>
      <c r="J814" s="97">
        <f>D$6</f>
        <v>1</v>
      </c>
      <c r="K814" s="95" t="str">
        <f t="shared" ca="1" si="311"/>
        <v>SR</v>
      </c>
      <c r="L814" s="95" t="str">
        <f t="shared" ca="1" si="312"/>
        <v>0</v>
      </c>
      <c r="M814" s="95" t="str">
        <f t="shared" ca="1" si="313"/>
        <v>0</v>
      </c>
      <c r="N814" s="95" t="str">
        <f t="shared" ca="1" si="314"/>
        <v>0</v>
      </c>
      <c r="O814" s="95" t="str">
        <f t="shared" ca="1" si="315"/>
        <v>0</v>
      </c>
      <c r="P814" s="95" t="str">
        <f t="shared" ca="1" si="316"/>
        <v>0</v>
      </c>
      <c r="Q814" s="95">
        <f ca="1">IF(AND(G814=T$6,LEN(G814)&gt;1),1,0)</f>
        <v>0</v>
      </c>
      <c r="R814" s="97">
        <f>Doubles!G$6</f>
        <v>5</v>
      </c>
      <c r="S814" s="95">
        <f ca="1">IF(AND(H814=H$6,LEN(H814)&gt;1,Q814=1),1,0)</f>
        <v>0</v>
      </c>
      <c r="U814" s="95" t="str">
        <f ca="1">AC810&amp;AC811&amp;AC812&amp;AC813&amp;AC814&amp;AC815&amp;AC816&amp;AC817&amp;AC818&amp;AC819&amp;AC820&amp;AC821&amp;AC822&amp;AC823&amp;AC824&amp;AC825&amp;AC826&amp;AC827&amp;AC828&amp;AC829&amp;AC830&amp;AC831&amp;AC832&amp;AC833</f>
        <v/>
      </c>
      <c r="V814" s="97">
        <f ca="1">VLOOKUP(5,R810:S833,2,0)</f>
        <v>0</v>
      </c>
      <c r="W814" s="95" t="str">
        <f t="shared" ca="1" si="317"/>
        <v/>
      </c>
      <c r="X814" s="95">
        <f ca="1">IF(F$6=0,IF(AND(G788=G840,NOT(G762=G788),NOT(G814=G840),LEN(W762)&gt;0),2,IF(LEN(W762)=0,0,1)),0)</f>
        <v>0</v>
      </c>
      <c r="AC814" s="95" t="str">
        <f ca="1">IF(AND(LEN(W814)&gt;0,F$6=0),IF(X814=2,W814&amp;" +2, ",W814&amp;", "),"")</f>
        <v/>
      </c>
    </row>
    <row r="815" spans="1:29">
      <c r="A815" s="95">
        <v>6</v>
      </c>
      <c r="B815" s="95">
        <f ca="1">IF(Doubles!O96="",0,Doubles!O96)</f>
        <v>0</v>
      </c>
      <c r="C815" s="99" t="str">
        <f ca="1">IF(OR(LEFT(B815,LEN(B$7))=B$7,LEFT(B815,LEN(C$7))=C$7,LEN(B815)&lt;2),"",IF(B815="no pick","","Wrong pick"))</f>
        <v/>
      </c>
      <c r="D815" s="95">
        <f t="shared" ca="1" si="308"/>
        <v>0</v>
      </c>
      <c r="E815" s="95">
        <f t="shared" ca="1" si="309"/>
        <v>1</v>
      </c>
      <c r="G815" s="95" t="str">
        <f ca="1">IF(B815=0,"",IF(B815="no pick","No Pick",IF(LEFT(B815,LEN(B$7))=B$7,B$7,C$7)))</f>
        <v/>
      </c>
      <c r="H815" s="95" t="str">
        <f t="shared" ca="1" si="310"/>
        <v>0-0</v>
      </c>
      <c r="I815" s="95" t="str">
        <f>IF(AND(J815=$I$2,F$7=0,NOT(E$7="")),IF(OR(AND(Y815=AA815,Z815=AB815),AND(Y815=AB815,Z815=AA815)),"",IF(AND(Y815=Z815,AA815=AB815),Y815&amp;" +2 v. "&amp;AA815&amp;" +2, ",IF(Y815=AA815,Z815&amp;" v. "&amp;AB815&amp;", ",IF(Z815=AB815,Y815&amp;" v. "&amp;AA815&amp;", ",IF(Y815=AB815,Z815&amp;" v. "&amp;AA815&amp;", ",IF(Z815=AA815,Y815&amp;" v. "&amp;AB815&amp;", ",Y815&amp;" v. "&amp;AA815&amp;", "&amp;Z815&amp;" v. "&amp;AB815&amp;", ")))))),"")</f>
        <v/>
      </c>
      <c r="J815" s="97">
        <f>D$7</f>
        <v>1</v>
      </c>
      <c r="K815" s="95" t="str">
        <f t="shared" ca="1" si="311"/>
        <v>SR</v>
      </c>
      <c r="L815" s="95" t="str">
        <f t="shared" ca="1" si="312"/>
        <v>0</v>
      </c>
      <c r="M815" s="95" t="str">
        <f t="shared" ca="1" si="313"/>
        <v>0</v>
      </c>
      <c r="N815" s="95" t="str">
        <f t="shared" ca="1" si="314"/>
        <v>0</v>
      </c>
      <c r="O815" s="95" t="str">
        <f t="shared" ca="1" si="315"/>
        <v>0</v>
      </c>
      <c r="P815" s="95" t="str">
        <f t="shared" ca="1" si="316"/>
        <v>0</v>
      </c>
      <c r="Q815" s="95">
        <f ca="1">IF(AND(G815=T$7,LEN(G815)&gt;1),1,0)</f>
        <v>0</v>
      </c>
      <c r="R815" s="97">
        <f>Doubles!G$7</f>
        <v>6</v>
      </c>
      <c r="S815" s="95">
        <f ca="1">IF(AND(H815=H$7,LEN(H815)&gt;1,Q815=1),1,0)</f>
        <v>0</v>
      </c>
      <c r="T815" s="105">
        <f ca="1">SUM(Q810:Q833)</f>
        <v>0</v>
      </c>
      <c r="U815" s="97">
        <f ca="1">SUM(S810:S833)</f>
        <v>0</v>
      </c>
      <c r="V815" s="97">
        <f ca="1">VLOOKUP(6,R810:S833,2,0)</f>
        <v>0</v>
      </c>
      <c r="W815" s="95" t="str">
        <f t="shared" ca="1" si="317"/>
        <v/>
      </c>
      <c r="X815" s="95">
        <f ca="1">IF(F$7=0,IF(AND(G789=G841,NOT(G763=G789),NOT(G815=G841),LEN(W763)&gt;0),2,IF(LEN(W763)=0,0,1)),0)</f>
        <v>0</v>
      </c>
      <c r="AC815" s="95" t="str">
        <f ca="1">IF(AND(LEN(W815)&gt;0,F$7=0),IF(X815=2,W815&amp;" +2, ",W815&amp;", "),"")</f>
        <v/>
      </c>
    </row>
    <row r="816" spans="1:29">
      <c r="A816" s="95">
        <v>7</v>
      </c>
      <c r="B816" s="95">
        <f ca="1">IF(Doubles!O97="",0,Doubles!O97)</f>
        <v>0</v>
      </c>
      <c r="C816" s="99" t="str">
        <f ca="1">IF(OR(LEFT(B816,LEN(B$8))=B$8,LEFT(B816,LEN(C$8))=C$8,LEN(B816)&lt;2),"",IF(B816="no pick","","Wrong pick"))</f>
        <v/>
      </c>
      <c r="D816" s="95">
        <f t="shared" ca="1" si="308"/>
        <v>0</v>
      </c>
      <c r="E816" s="95">
        <f t="shared" ca="1" si="309"/>
        <v>1</v>
      </c>
      <c r="G816" s="95" t="str">
        <f ca="1">IF(B816=0,"",IF(B816="no pick","No Pick",IF(LEFT(B816,LEN(B$8))=B$8,B$8,C$8)))</f>
        <v/>
      </c>
      <c r="H816" s="95" t="str">
        <f t="shared" ca="1" si="310"/>
        <v>0-0</v>
      </c>
      <c r="I816" s="95" t="str">
        <f>IF(AND(J816=$I$2,F$8=0,NOT(E$8="")),IF(OR(AND(Y816=AA816,Z816=AB816),AND(Y816=AB816,Z816=AA816)),"",IF(AND(Y816=Z816,AA816=AB816),Y816&amp;" +2 v. "&amp;AA816&amp;" +2, ",IF(Y816=AA816,Z816&amp;" v. "&amp;AB816&amp;", ",IF(Z816=AB816,Y816&amp;" v. "&amp;AA816&amp;", ",IF(Y816=AB816,Z816&amp;" v. "&amp;AA816&amp;", ",IF(Z816=AA816,Y816&amp;" v. "&amp;AB816&amp;", ",Y816&amp;" v. "&amp;AA816&amp;", "&amp;Z816&amp;" v. "&amp;AB816&amp;", ")))))),"")</f>
        <v/>
      </c>
      <c r="J816" s="97">
        <f>D$8</f>
        <v>1</v>
      </c>
      <c r="K816" s="95" t="str">
        <f t="shared" ca="1" si="311"/>
        <v>SR</v>
      </c>
      <c r="L816" s="95" t="str">
        <f t="shared" ca="1" si="312"/>
        <v>0</v>
      </c>
      <c r="M816" s="95" t="str">
        <f t="shared" ca="1" si="313"/>
        <v>0</v>
      </c>
      <c r="N816" s="95" t="str">
        <f t="shared" ca="1" si="314"/>
        <v>0</v>
      </c>
      <c r="O816" s="95" t="str">
        <f t="shared" ca="1" si="315"/>
        <v>0</v>
      </c>
      <c r="P816" s="95" t="str">
        <f t="shared" ca="1" si="316"/>
        <v>0</v>
      </c>
      <c r="Q816" s="95">
        <f ca="1">IF(AND(G816=T$8,LEN(G816)&gt;1),1,0)</f>
        <v>0</v>
      </c>
      <c r="R816" s="97">
        <f>Doubles!G$8</f>
        <v>7</v>
      </c>
      <c r="S816" s="95">
        <f ca="1">IF(AND(H816=H$8,LEN(H816)&gt;1,Q816=1),1,0)</f>
        <v>0</v>
      </c>
      <c r="T816" s="105">
        <f ca="1">SUM(Q836:Q859)</f>
        <v>0</v>
      </c>
      <c r="U816" s="97">
        <f ca="1">SUM(S836:S859)</f>
        <v>0</v>
      </c>
      <c r="V816" s="97">
        <f ca="1">VLOOKUP(7,R810:S833,2,0)</f>
        <v>0</v>
      </c>
      <c r="W816" s="95" t="str">
        <f t="shared" ca="1" si="317"/>
        <v/>
      </c>
      <c r="X816" s="95">
        <f ca="1">IF(F$8=0,IF(AND(G790=G842,NOT(G764=G790),NOT(G816=G842),LEN(W764)&gt;0),2,IF(LEN(W764)=0,0,1)),0)</f>
        <v>0</v>
      </c>
      <c r="AC816" s="95" t="str">
        <f ca="1">IF(AND(LEN(W816)&gt;0,F$8=0),IF(X816=2,W816&amp;" +2, ",W816&amp;", "),"")</f>
        <v/>
      </c>
    </row>
    <row r="817" spans="1:29">
      <c r="A817" s="95">
        <v>8</v>
      </c>
      <c r="B817" s="95">
        <f ca="1">IF(Doubles!O98="",0,Doubles!O98)</f>
        <v>0</v>
      </c>
      <c r="C817" s="99" t="str">
        <f ca="1">IF(OR(LEFT(B817,LEN(B$9))=B$9,LEFT(B817,LEN(C$9))=C$9,LEN(B817)&lt;2),"",IF(B817="no pick","","Wrong pick"))</f>
        <v/>
      </c>
      <c r="D817" s="95">
        <f t="shared" ca="1" si="308"/>
        <v>0</v>
      </c>
      <c r="E817" s="95">
        <f t="shared" ca="1" si="309"/>
        <v>1</v>
      </c>
      <c r="G817" s="95" t="str">
        <f ca="1">IF(B817=0,"",IF(B817="no pick","No Pick",IF(LEFT(B817,LEN(B$9))=B$9,B$9,C$9)))</f>
        <v/>
      </c>
      <c r="H817" s="95" t="str">
        <f t="shared" ca="1" si="310"/>
        <v>0-0</v>
      </c>
      <c r="I817" s="95" t="str">
        <f>IF(AND(J817=$I$2,F$9=0,NOT(E$9="")),IF(OR(AND(Y817=AA817,Z817=AB817),AND(Y817=AB817,Z817=AA817)),"",IF(AND(Y817=Z817,AA817=AB817),Y817&amp;" +2 v. "&amp;AA817&amp;" +2, ",IF(Y817=AA817,Z817&amp;" v. "&amp;AB817&amp;", ",IF(Z817=AB817,Y817&amp;" v. "&amp;AA817&amp;", ",IF(Y817=AB817,Z817&amp;" v. "&amp;AA817&amp;", ",IF(Z817=AA817,Y817&amp;" v. "&amp;AB817&amp;", ",Y817&amp;" v. "&amp;AA817&amp;", "&amp;Z817&amp;" v. "&amp;AB817&amp;", ")))))),"")</f>
        <v/>
      </c>
      <c r="J817" s="97">
        <f>D$9</f>
        <v>1</v>
      </c>
      <c r="K817" s="95" t="str">
        <f t="shared" ca="1" si="311"/>
        <v>SR</v>
      </c>
      <c r="L817" s="95" t="str">
        <f t="shared" ca="1" si="312"/>
        <v>0</v>
      </c>
      <c r="M817" s="95" t="str">
        <f t="shared" ca="1" si="313"/>
        <v>0</v>
      </c>
      <c r="N817" s="95" t="str">
        <f t="shared" ca="1" si="314"/>
        <v>0</v>
      </c>
      <c r="O817" s="95" t="str">
        <f t="shared" ca="1" si="315"/>
        <v>0</v>
      </c>
      <c r="P817" s="95" t="str">
        <f t="shared" ca="1" si="316"/>
        <v>0</v>
      </c>
      <c r="Q817" s="95">
        <f ca="1">IF(AND(G817=T$9,LEN(G817)&gt;1),1,0)</f>
        <v>0</v>
      </c>
      <c r="R817" s="97">
        <f>Doubles!G$9</f>
        <v>8</v>
      </c>
      <c r="S817" s="95">
        <f ca="1">IF(AND(H817=H$9,LEN(H817)&gt;1,Q817=1),1,0)</f>
        <v>0</v>
      </c>
      <c r="V817" s="97">
        <f ca="1">VLOOKUP(8,R810:S833,2,0)</f>
        <v>0</v>
      </c>
      <c r="W817" s="95" t="str">
        <f t="shared" ca="1" si="317"/>
        <v/>
      </c>
      <c r="X817" s="95">
        <f ca="1">IF(F$9=0,IF(AND(G791=G843,NOT(G765=G791),NOT(G817=G843),LEN(W765)&gt;0),2,IF(LEN(W765)=0,0,1)),0)</f>
        <v>0</v>
      </c>
      <c r="AC817" s="95" t="str">
        <f ca="1">IF(AND(LEN(W817)&gt;0,F$9=0),IF(X817=2,W817&amp;" +2, ",W817&amp;", "),"")</f>
        <v/>
      </c>
    </row>
    <row r="818" spans="1:29">
      <c r="A818" s="95">
        <v>9</v>
      </c>
      <c r="B818" s="95">
        <f ca="1">IF(Doubles!O99="",0,Doubles!O99)</f>
        <v>0</v>
      </c>
      <c r="C818" s="99" t="str">
        <f ca="1">IF(OR(LEFT(B818,LEN(B$10))=B$10,LEFT(B818,LEN(C$10))=C$10,LEN(B818)&lt;2),"",IF(B818="no pick","","Wrong pick"))</f>
        <v/>
      </c>
      <c r="D818" s="95">
        <f t="shared" ca="1" si="308"/>
        <v>0</v>
      </c>
      <c r="E818" s="95">
        <f t="shared" ca="1" si="309"/>
        <v>1</v>
      </c>
      <c r="G818" s="95" t="str">
        <f ca="1">IF(B818=0,"",IF(B818="no pick","No Pick",IF(LEFT(B818,LEN(B$10))=B$10,B$10,C$10)))</f>
        <v/>
      </c>
      <c r="H818" s="95" t="str">
        <f t="shared" ca="1" si="310"/>
        <v>0-0</v>
      </c>
      <c r="I818" s="95" t="str">
        <f>IF(AND(J818=$I$2,F$10=0,NOT(E$10="")),IF(OR(AND(Y818=AA818,Z818=AB818),AND(Y818=AB818,Z818=AA818)),"",IF(AND(Y818=Z818,AA818=AB818),Y818&amp;" +2 v. "&amp;AA818&amp;" +2, ",IF(Y818=AA818,Z818&amp;" v. "&amp;AB818&amp;", ",IF(Z818=AB818,Y818&amp;" v. "&amp;AA818&amp;", ",IF(Y818=AB818,Z818&amp;" v. "&amp;AA818&amp;", ",IF(Z818=AA818,Y818&amp;" v. "&amp;AB818&amp;", ",Y818&amp;" v. "&amp;AA818&amp;", "&amp;Z818&amp;" v. "&amp;AB818&amp;", ")))))),"")</f>
        <v/>
      </c>
      <c r="J818" s="97">
        <f>D$10</f>
        <v>1</v>
      </c>
      <c r="K818" s="95" t="str">
        <f t="shared" ca="1" si="311"/>
        <v>SR</v>
      </c>
      <c r="L818" s="95" t="str">
        <f t="shared" ca="1" si="312"/>
        <v>0</v>
      </c>
      <c r="M818" s="95" t="str">
        <f t="shared" ca="1" si="313"/>
        <v>0</v>
      </c>
      <c r="N818" s="95" t="str">
        <f t="shared" ca="1" si="314"/>
        <v>0</v>
      </c>
      <c r="O818" s="95" t="str">
        <f t="shared" ca="1" si="315"/>
        <v>0</v>
      </c>
      <c r="P818" s="95" t="str">
        <f t="shared" ca="1" si="316"/>
        <v>0</v>
      </c>
      <c r="Q818" s="95">
        <f ca="1">IF(AND(G818=T$10,LEN(G818)&gt;1),1,0)</f>
        <v>0</v>
      </c>
      <c r="R818" s="97">
        <f>Doubles!G$10</f>
        <v>9</v>
      </c>
      <c r="S818" s="95">
        <f ca="1">IF(AND(H818=H$10,LEN(H818)&gt;1,Q818=1),1,0)</f>
        <v>0</v>
      </c>
      <c r="T818" s="97" t="e">
        <f>VLOOKUP("Winner",T836:U852,2,0)</f>
        <v>#N/A</v>
      </c>
      <c r="U818" s="95" t="e">
        <f>VLOOKUP(T818,U836:W852,3,0)</f>
        <v>#N/A</v>
      </c>
      <c r="V818" s="97">
        <f ca="1">VLOOKUP(9,R810:S833,2,0)</f>
        <v>0</v>
      </c>
      <c r="W818" s="95" t="str">
        <f t="shared" ca="1" si="317"/>
        <v/>
      </c>
      <c r="X818" s="95">
        <f ca="1">IF(F$10=0,IF(AND(G792=G844,NOT(G766=G792),NOT(G818=G844),LEN(W766)&gt;0),2,IF(LEN(W766)=0,0,1)),0)</f>
        <v>0</v>
      </c>
      <c r="AC818" s="95" t="str">
        <f ca="1">IF(AND(LEN(W818)&gt;0,F$10=0),IF(X818=2,W818&amp;" +2, ",W818&amp;", "),"")</f>
        <v/>
      </c>
    </row>
    <row r="819" spans="1:29">
      <c r="A819" s="95">
        <v>10</v>
      </c>
      <c r="B819" s="95">
        <f ca="1">IF(Doubles!O100="",0,Doubles!O100)</f>
        <v>0</v>
      </c>
      <c r="C819" s="99" t="str">
        <f ca="1">IF(OR(LEFT(B819,LEN(B$11))=B$11,LEFT(B819,LEN(C$11))=C$11,LEN(B819)&lt;2),"",IF(B819="no pick","","Wrong pick"))</f>
        <v/>
      </c>
      <c r="D819" s="95">
        <f t="shared" ca="1" si="308"/>
        <v>0</v>
      </c>
      <c r="E819" s="95">
        <f t="shared" ca="1" si="309"/>
        <v>1</v>
      </c>
      <c r="G819" s="95" t="str">
        <f ca="1">IF(B819=0,"",IF(B819="no pick","No Pick",IF(LEFT(B819,LEN(B$11))=B$11,B$11,C$11)))</f>
        <v/>
      </c>
      <c r="H819" s="95" t="str">
        <f t="shared" ca="1" si="310"/>
        <v>0-0</v>
      </c>
      <c r="I819" s="95" t="str">
        <f>IF(AND(J819=$I$2,F$11=0,NOT(E$11="")),IF(OR(AND(Y819=AA819,Z819=AB819),AND(Y819=AB819,Z819=AA819)),"",IF(AND(Y819=Z819,AA819=AB819),Y819&amp;" +2 v. "&amp;AA819&amp;" +2, ",IF(Y819=AA819,Z819&amp;" v. "&amp;AB819&amp;", ",IF(Z819=AB819,Y819&amp;" v. "&amp;AA819&amp;", ",IF(Y819=AB819,Z819&amp;" v. "&amp;AA819&amp;", ",IF(Z819=AA819,Y819&amp;" v. "&amp;AB819&amp;", ",Y819&amp;" v. "&amp;AA819&amp;", "&amp;Z819&amp;" v. "&amp;AB819&amp;", ")))))),"")</f>
        <v/>
      </c>
      <c r="J819" s="97">
        <f>D$11</f>
        <v>1</v>
      </c>
      <c r="K819" s="95" t="str">
        <f t="shared" ca="1" si="311"/>
        <v>SR</v>
      </c>
      <c r="L819" s="95" t="str">
        <f t="shared" ca="1" si="312"/>
        <v>0</v>
      </c>
      <c r="M819" s="95" t="str">
        <f t="shared" ca="1" si="313"/>
        <v>0</v>
      </c>
      <c r="N819" s="95" t="str">
        <f t="shared" ca="1" si="314"/>
        <v>0</v>
      </c>
      <c r="O819" s="95" t="str">
        <f t="shared" ca="1" si="315"/>
        <v>0</v>
      </c>
      <c r="P819" s="95" t="str">
        <f t="shared" ca="1" si="316"/>
        <v>0</v>
      </c>
      <c r="Q819" s="95">
        <f ca="1">IF(AND(G819=T$11,LEN(G819)&gt;1),1,0)</f>
        <v>0</v>
      </c>
      <c r="R819" s="97">
        <f>Doubles!G$11</f>
        <v>10</v>
      </c>
      <c r="S819" s="95">
        <f ca="1">IF(AND(H819=H$11,LEN(H819)&gt;1,Q819=1),1,0)</f>
        <v>0</v>
      </c>
      <c r="V819" s="97">
        <f ca="1">VLOOKUP(10,R810:S833,2,0)</f>
        <v>0</v>
      </c>
      <c r="W819" s="95" t="str">
        <f t="shared" ca="1" si="317"/>
        <v/>
      </c>
      <c r="X819" s="95">
        <f ca="1">IF(F$11=0,IF(AND(G793=G845,NOT(G767=G793),NOT(G819=G845),LEN(W767)&gt;0),2,IF(LEN(W767)=0,0,1)),0)</f>
        <v>0</v>
      </c>
      <c r="AC819" s="95" t="str">
        <f ca="1">IF(AND(LEN(W819)&gt;0,F$11=0),IF(X819=2,W819&amp;" +2, ",W819&amp;", "),"")</f>
        <v/>
      </c>
    </row>
    <row r="820" spans="1:29">
      <c r="A820" s="95">
        <v>11</v>
      </c>
      <c r="B820" s="95">
        <f ca="1">IF(Doubles!O101="",0,Doubles!O101)</f>
        <v>0</v>
      </c>
      <c r="C820" s="99" t="str">
        <f ca="1">IF(OR(LEFT(B820,LEN(B$12))=B$12,LEFT(B820,LEN(C$12))=C$12,LEN(B820)&lt;2),"",IF(B820="no pick","","Wrong pick"))</f>
        <v/>
      </c>
      <c r="D820" s="95">
        <f t="shared" ca="1" si="308"/>
        <v>0</v>
      </c>
      <c r="E820" s="95">
        <f t="shared" ca="1" si="309"/>
        <v>1</v>
      </c>
      <c r="G820" s="95" t="str">
        <f ca="1">IF(B820=0,"",IF(B820="no pick","No Pick",IF(LEFT(B820,LEN(B$12))=B$12,B$12,C$12)))</f>
        <v/>
      </c>
      <c r="H820" s="95" t="str">
        <f t="shared" ca="1" si="310"/>
        <v>0-0</v>
      </c>
      <c r="I820" s="95" t="str">
        <f>IF(AND(J820=$I$2,F$12=0,NOT(E$12="")),IF(OR(AND(Y820=AA820,Z820=AB820),AND(Y820=AB820,Z820=AA820)),"",IF(AND(Y820=Z820,AA820=AB820),Y820&amp;" +2 v. "&amp;AA820&amp;" +2, ",IF(Y820=AA820,Z820&amp;" v. "&amp;AB820&amp;", ",IF(Z820=AB820,Y820&amp;" v. "&amp;AA820&amp;", ",IF(Y820=AB820,Z820&amp;" v. "&amp;AA820&amp;", ",IF(Z820=AA820,Y820&amp;" v. "&amp;AB820&amp;", ",Y820&amp;" v. "&amp;AA820&amp;", "&amp;Z820&amp;" v. "&amp;AB820&amp;", ")))))),"")</f>
        <v/>
      </c>
      <c r="J820" s="97">
        <f>D$12</f>
        <v>1</v>
      </c>
      <c r="K820" s="95" t="str">
        <f t="shared" ca="1" si="311"/>
        <v>SR</v>
      </c>
      <c r="L820" s="95" t="str">
        <f t="shared" ca="1" si="312"/>
        <v>0</v>
      </c>
      <c r="M820" s="95" t="str">
        <f t="shared" ca="1" si="313"/>
        <v>0</v>
      </c>
      <c r="N820" s="95" t="str">
        <f t="shared" ca="1" si="314"/>
        <v>0</v>
      </c>
      <c r="O820" s="95" t="str">
        <f t="shared" ca="1" si="315"/>
        <v>0</v>
      </c>
      <c r="P820" s="95" t="str">
        <f t="shared" ca="1" si="316"/>
        <v>0</v>
      </c>
      <c r="Q820" s="95">
        <f ca="1">IF(AND(G820=T$12,LEN(G820)&gt;1),1,0)</f>
        <v>0</v>
      </c>
      <c r="R820" s="97">
        <f>Doubles!G$12</f>
        <v>11</v>
      </c>
      <c r="S820" s="95">
        <f ca="1">IF(AND(H820=H$12,LEN(H820)&gt;1,Q820=1),1,0)</f>
        <v>0</v>
      </c>
      <c r="V820" s="97">
        <f ca="1">VLOOKUP(11,R810:S833,2,0)</f>
        <v>0</v>
      </c>
      <c r="W820" s="95" t="str">
        <f t="shared" ca="1" si="317"/>
        <v/>
      </c>
      <c r="X820" s="95">
        <f ca="1">IF(F$12=0,IF(AND(G794=G846,NOT(G768=G794),NOT(G820=G846),LEN(W768)&gt;0),2,IF(LEN(W768)=0,0,1)),0)</f>
        <v>0</v>
      </c>
      <c r="AC820" s="95" t="str">
        <f ca="1">IF(AND(LEN(W820)&gt;0,F$12=0),IF(X820=2,W820&amp;" +2, ",W820&amp;", "),"")</f>
        <v/>
      </c>
    </row>
    <row r="821" spans="1:29">
      <c r="A821" s="95">
        <v>12</v>
      </c>
      <c r="B821" s="95">
        <f ca="1">IF(Doubles!O102="",0,Doubles!O102)</f>
        <v>0</v>
      </c>
      <c r="C821" s="99" t="str">
        <f ca="1">IF(OR(LEFT(B821,LEN(B$13))=B$13,LEFT(B821,LEN(C$13))=C$13,LEN(B821)&lt;2),"",IF(B821="no pick","","Wrong pick"))</f>
        <v/>
      </c>
      <c r="D821" s="95">
        <f t="shared" ca="1" si="308"/>
        <v>0</v>
      </c>
      <c r="E821" s="95">
        <f t="shared" ca="1" si="309"/>
        <v>1</v>
      </c>
      <c r="G821" s="95" t="str">
        <f ca="1">IF(B821=0,"",IF(B821="no pick","No Pick",IF(LEFT(B821,LEN(B$13))=B$13,B$13,C$13)))</f>
        <v/>
      </c>
      <c r="H821" s="95" t="str">
        <f t="shared" ca="1" si="310"/>
        <v>0-0</v>
      </c>
      <c r="I821" s="95" t="str">
        <f>IF(AND(J821=$I$2,F$13=0,NOT(E$13="")),IF(OR(AND(Y821=AA821,Z821=AB821),AND(Y821=AB821,Z821=AA821)),"",IF(AND(Y821=Z821,AA821=AB821),Y821&amp;" +2 v. "&amp;AA821&amp;" +2, ",IF(Y821=AA821,Z821&amp;" v. "&amp;AB821&amp;", ",IF(Z821=AB821,Y821&amp;" v. "&amp;AA821&amp;", ",IF(Y821=AB821,Z821&amp;" v. "&amp;AA821&amp;", ",IF(Z821=AA821,Y821&amp;" v. "&amp;AB821&amp;", ",Y821&amp;" v. "&amp;AA821&amp;", "&amp;Z821&amp;" v. "&amp;AB821&amp;", ")))))),"")</f>
        <v/>
      </c>
      <c r="J821" s="97">
        <f>D$13</f>
        <v>1</v>
      </c>
      <c r="K821" s="95" t="str">
        <f t="shared" ca="1" si="311"/>
        <v>SR</v>
      </c>
      <c r="L821" s="95" t="str">
        <f t="shared" ca="1" si="312"/>
        <v>0</v>
      </c>
      <c r="M821" s="95" t="str">
        <f t="shared" ca="1" si="313"/>
        <v>0</v>
      </c>
      <c r="N821" s="95" t="str">
        <f t="shared" ca="1" si="314"/>
        <v>0</v>
      </c>
      <c r="O821" s="95" t="str">
        <f t="shared" ca="1" si="315"/>
        <v>0</v>
      </c>
      <c r="P821" s="95" t="str">
        <f t="shared" ca="1" si="316"/>
        <v>0</v>
      </c>
      <c r="Q821" s="95">
        <f ca="1">IF(AND(G821=T$13,LEN(G821)&gt;1),1,0)</f>
        <v>0</v>
      </c>
      <c r="R821" s="97">
        <f>Doubles!G$13</f>
        <v>12</v>
      </c>
      <c r="S821" s="95">
        <f ca="1">IF(AND(H821=H$13,LEN(H821)&gt;1,Q821=1),1,0)</f>
        <v>0</v>
      </c>
      <c r="V821" s="97">
        <f ca="1">VLOOKUP(12,R810:S833,2,0)</f>
        <v>0</v>
      </c>
      <c r="W821" s="95" t="str">
        <f t="shared" ca="1" si="317"/>
        <v/>
      </c>
      <c r="X821" s="95">
        <f ca="1">IF(F$13=0,IF(AND(G795=G847,NOT(G769=G795),NOT(G821=G847),LEN(W769)&gt;0),2,IF(LEN(W769)=0,0,1)),0)</f>
        <v>0</v>
      </c>
      <c r="AC821" s="95" t="str">
        <f ca="1">IF(AND(LEN(W821)&gt;0,F$13=0),IF(X821=2,W821&amp;" +2, ",W821&amp;", "),"")</f>
        <v/>
      </c>
    </row>
    <row r="822" spans="1:29">
      <c r="A822" s="95">
        <v>13</v>
      </c>
      <c r="B822" s="95">
        <f ca="1">IF(Doubles!O103="",0,Doubles!O103)</f>
        <v>0</v>
      </c>
      <c r="C822" s="99" t="str">
        <f ca="1">IF(OR(LEFT(B822,LEN(B$14))=B$14,LEFT(B822,LEN(C$14))=C$14,LEN(B822)&lt;2),"",IF(B822="no pick","","Wrong pick"))</f>
        <v/>
      </c>
      <c r="D822" s="95">
        <f t="shared" ca="1" si="308"/>
        <v>0</v>
      </c>
      <c r="E822" s="95">
        <f t="shared" ca="1" si="309"/>
        <v>1</v>
      </c>
      <c r="G822" s="95" t="str">
        <f ca="1">IF(B822=0,"",IF(B822="no pick","No Pick",IF(LEFT(B822,LEN(B$14))=B$14,B$14,C$14)))</f>
        <v/>
      </c>
      <c r="H822" s="95" t="str">
        <f t="shared" ca="1" si="310"/>
        <v>0-0</v>
      </c>
      <c r="I822" s="95" t="str">
        <f>IF(AND(J822=$I$2,F$14=0,NOT(E$14="")),IF(OR(AND(Y822=AA822,Z822=AB822),AND(Y822=AB822,Z822=AA822)),"",IF(AND(Y822=Z822,AA822=AB822),Y822&amp;" +2 v. "&amp;AA822&amp;" +2, ",IF(Y822=AA822,Z822&amp;" v. "&amp;AB822&amp;", ",IF(Z822=AB822,Y822&amp;" v. "&amp;AA822&amp;", ",IF(Y822=AB822,Z822&amp;" v. "&amp;AA822&amp;", ",IF(Z822=AA822,Y822&amp;" v. "&amp;AB822&amp;", ",Y822&amp;" v. "&amp;AA822&amp;", "&amp;Z822&amp;" v. "&amp;AB822&amp;", ")))))),"")</f>
        <v/>
      </c>
      <c r="J822" s="97">
        <f>D$14</f>
        <v>1</v>
      </c>
      <c r="K822" s="95" t="str">
        <f t="shared" ca="1" si="311"/>
        <v>SR</v>
      </c>
      <c r="L822" s="95" t="str">
        <f t="shared" ca="1" si="312"/>
        <v>0</v>
      </c>
      <c r="M822" s="95" t="str">
        <f t="shared" ca="1" si="313"/>
        <v>0</v>
      </c>
      <c r="N822" s="95" t="str">
        <f t="shared" ca="1" si="314"/>
        <v>0</v>
      </c>
      <c r="O822" s="95" t="str">
        <f t="shared" ca="1" si="315"/>
        <v>0</v>
      </c>
      <c r="P822" s="95" t="str">
        <f t="shared" ca="1" si="316"/>
        <v>0</v>
      </c>
      <c r="Q822" s="95">
        <f ca="1">IF(AND(G822=T$14,LEN(G822)&gt;1),1,0)</f>
        <v>0</v>
      </c>
      <c r="R822" s="97">
        <f>Doubles!G$14</f>
        <v>13</v>
      </c>
      <c r="S822" s="95">
        <f ca="1">IF(AND(H822=H$14,LEN(H822)&gt;1,Q822=1),1,0)</f>
        <v>0</v>
      </c>
      <c r="V822" s="97">
        <f ca="1">VLOOKUP(13,R810:S833,2,0)</f>
        <v>0</v>
      </c>
      <c r="W822" s="95" t="str">
        <f t="shared" ca="1" si="317"/>
        <v/>
      </c>
      <c r="X822" s="95">
        <f ca="1">IF(F$14=0,IF(AND(G796=G848,NOT(G770=G796),NOT(G822=G848),LEN(W770)&gt;0),2,IF(LEN(W770)=0,0,1)),0)</f>
        <v>0</v>
      </c>
      <c r="AC822" s="95" t="str">
        <f ca="1">IF(AND(LEN(W822)&gt;0,F$14=0),IF(X822=2,W822&amp;" +2, ",W822&amp;", "),"")</f>
        <v/>
      </c>
    </row>
    <row r="823" spans="1:29">
      <c r="A823" s="95">
        <v>14</v>
      </c>
      <c r="B823" s="95">
        <f ca="1">IF(Doubles!O104="",0,Doubles!O104)</f>
        <v>0</v>
      </c>
      <c r="C823" s="99" t="str">
        <f ca="1">IF(OR(LEFT(B823,LEN(B$15))=B$15,LEFT(B823,LEN(C$15))=C$15,LEN(B823)&lt;2),"",IF(B823="no pick","","Wrong pick"))</f>
        <v/>
      </c>
      <c r="D823" s="95">
        <f t="shared" ca="1" si="308"/>
        <v>0</v>
      </c>
      <c r="E823" s="95">
        <f t="shared" ca="1" si="309"/>
        <v>1</v>
      </c>
      <c r="G823" s="95" t="str">
        <f ca="1">IF(B823=0,"",IF(B823="no pick","No Pick",IF(LEFT(B823,LEN(B$15))=B$15,B$15,C$15)))</f>
        <v/>
      </c>
      <c r="H823" s="95" t="str">
        <f t="shared" ca="1" si="310"/>
        <v>0-0</v>
      </c>
      <c r="I823" s="95" t="str">
        <f>IF(AND(J823=$I$2,F$15=0,NOT(E$15="")),IF(OR(AND(Y823=AA823,Z823=AB823),AND(Y823=AB823,Z823=AA823)),"",IF(AND(Y823=Z823,AA823=AB823),Y823&amp;" +2 v. "&amp;AA823&amp;" +2, ",IF(Y823=AA823,Z823&amp;" v. "&amp;AB823&amp;", ",IF(Z823=AB823,Y823&amp;" v. "&amp;AA823&amp;", ",IF(Y823=AB823,Z823&amp;" v. "&amp;AA823&amp;", ",IF(Z823=AA823,Y823&amp;" v. "&amp;AB823&amp;", ",Y823&amp;" v. "&amp;AA823&amp;", "&amp;Z823&amp;" v. "&amp;AB823&amp;", ")))))),"")</f>
        <v/>
      </c>
      <c r="J823" s="97">
        <f>D$15</f>
        <v>1</v>
      </c>
      <c r="K823" s="95" t="str">
        <f t="shared" ca="1" si="311"/>
        <v>SR</v>
      </c>
      <c r="L823" s="95" t="str">
        <f t="shared" ca="1" si="312"/>
        <v>0</v>
      </c>
      <c r="M823" s="95" t="str">
        <f t="shared" ca="1" si="313"/>
        <v>0</v>
      </c>
      <c r="N823" s="95" t="str">
        <f t="shared" ca="1" si="314"/>
        <v>0</v>
      </c>
      <c r="O823" s="95" t="str">
        <f t="shared" ca="1" si="315"/>
        <v>0</v>
      </c>
      <c r="P823" s="95" t="str">
        <f t="shared" ca="1" si="316"/>
        <v>0</v>
      </c>
      <c r="Q823" s="95">
        <f ca="1">IF(AND(G823=T$15,LEN(G823)&gt;1),1,0)</f>
        <v>0</v>
      </c>
      <c r="R823" s="97">
        <f>Doubles!G$15</f>
        <v>14</v>
      </c>
      <c r="S823" s="95">
        <f ca="1">IF(AND(H823=H$15,LEN(H823)&gt;1,Q823=1),1,0)</f>
        <v>0</v>
      </c>
      <c r="V823" s="97">
        <f ca="1">VLOOKUP(14,R810:S833,2,0)</f>
        <v>0</v>
      </c>
      <c r="W823" s="95" t="str">
        <f t="shared" ca="1" si="317"/>
        <v/>
      </c>
      <c r="X823" s="95">
        <f ca="1">IF(F$15=0,IF(AND(G797=G849,NOT(G771=G797),NOT(G823=G849),LEN(W771)&gt;0),2,IF(LEN(W771)=0,0,1)),0)</f>
        <v>0</v>
      </c>
      <c r="AC823" s="95" t="str">
        <f ca="1">IF(AND(LEN(W823)&gt;0,F$15=0),IF(X823=2,W823&amp;" +2, ",W823&amp;", "),"")</f>
        <v/>
      </c>
    </row>
    <row r="824" spans="1:29">
      <c r="A824" s="95">
        <v>15</v>
      </c>
      <c r="B824" s="95">
        <f ca="1">IF(Doubles!O105="",0,Doubles!O105)</f>
        <v>0</v>
      </c>
      <c r="C824" s="99" t="str">
        <f ca="1">IF(OR(LEFT(B824,LEN(B$16))=B$16,LEFT(B824,LEN(C$16))=C$16,LEN(B824)&lt;2),"",IF(B824="no pick","","Wrong pick"))</f>
        <v/>
      </c>
      <c r="D824" s="95">
        <f t="shared" ca="1" si="308"/>
        <v>0</v>
      </c>
      <c r="E824" s="95">
        <f t="shared" ca="1" si="309"/>
        <v>1</v>
      </c>
      <c r="G824" s="95" t="str">
        <f ca="1">IF(B824=0,"",IF(B824="no pick","No Pick",IF(LEFT(B824,LEN(B$16))=B$16,B$16,C$16)))</f>
        <v/>
      </c>
      <c r="H824" s="95" t="str">
        <f t="shared" ca="1" si="310"/>
        <v>0-0</v>
      </c>
      <c r="I824" s="95" t="str">
        <f>IF(AND(J824=$I$2,F$16=0,NOT(E$16="")),IF(OR(AND(Y824=AA824,Z824=AB824),AND(Y824=AB824,Z824=AA824)),"",IF(AND(Y824=Z824,AA824=AB824),Y824&amp;" +2 v. "&amp;AA824&amp;" +2, ",IF(Y824=AA824,Z824&amp;" v. "&amp;AB824&amp;", ",IF(Z824=AB824,Y824&amp;" v. "&amp;AA824&amp;", ",IF(Y824=AB824,Z824&amp;" v. "&amp;AA824&amp;", ",IF(Z824=AA824,Y824&amp;" v. "&amp;AB824&amp;", ",Y824&amp;" v. "&amp;AA824&amp;", "&amp;Z824&amp;" v. "&amp;AB824&amp;", ")))))),"")</f>
        <v/>
      </c>
      <c r="J824" s="97">
        <f>D$16</f>
        <v>1</v>
      </c>
      <c r="K824" s="95" t="str">
        <f t="shared" ca="1" si="311"/>
        <v>SR</v>
      </c>
      <c r="L824" s="95" t="str">
        <f t="shared" ca="1" si="312"/>
        <v>0</v>
      </c>
      <c r="M824" s="95" t="str">
        <f t="shared" ca="1" si="313"/>
        <v>0</v>
      </c>
      <c r="N824" s="95" t="str">
        <f t="shared" ca="1" si="314"/>
        <v>0</v>
      </c>
      <c r="O824" s="95" t="str">
        <f t="shared" ca="1" si="315"/>
        <v>0</v>
      </c>
      <c r="P824" s="95" t="str">
        <f t="shared" ca="1" si="316"/>
        <v>0</v>
      </c>
      <c r="Q824" s="95">
        <f ca="1">IF(AND(G824=T$16,LEN(G824)&gt;1),1,0)</f>
        <v>0</v>
      </c>
      <c r="R824" s="97">
        <f>Doubles!G$16</f>
        <v>15</v>
      </c>
      <c r="S824" s="95">
        <f ca="1">IF(AND(H824=H$16,LEN(H824)&gt;1,Q824=1),1,0)</f>
        <v>0</v>
      </c>
      <c r="V824" s="97">
        <f ca="1">VLOOKUP(15,R810:S833,2,0)</f>
        <v>0</v>
      </c>
      <c r="W824" s="95" t="str">
        <f t="shared" ca="1" si="317"/>
        <v/>
      </c>
      <c r="X824" s="95">
        <f ca="1">IF(F$16=0,IF(AND(G798=G850,NOT(G772=G798),NOT(G824=G850),LEN(W772)&gt;0),2,IF(LEN(W772)=0,0,1)),0)</f>
        <v>0</v>
      </c>
      <c r="AC824" s="95" t="str">
        <f ca="1">IF(AND(LEN(W824)&gt;0,F$16=0),IF(X824=2,W824&amp;" +2, ",W824&amp;", "),"")</f>
        <v/>
      </c>
    </row>
    <row r="825" spans="1:29">
      <c r="A825" s="95">
        <v>16</v>
      </c>
      <c r="B825" s="95">
        <f ca="1">IF(Doubles!O106="",0,Doubles!O106)</f>
        <v>0</v>
      </c>
      <c r="C825" s="99" t="str">
        <f ca="1">IF(OR(LEFT(B825,LEN(B$17))=B$17,LEFT(B825,LEN(C$17))=C$17,LEN(B825)&lt;2),"",IF(B825="no pick","","Wrong pick"))</f>
        <v/>
      </c>
      <c r="D825" s="95">
        <f t="shared" ca="1" si="308"/>
        <v>0</v>
      </c>
      <c r="E825" s="95">
        <f t="shared" ca="1" si="309"/>
        <v>1</v>
      </c>
      <c r="G825" s="95" t="str">
        <f ca="1">IF(B825=0,"",IF(B825="no pick","No Pick",IF(LEFT(B825,LEN(B$17))=B$17,B$17,C$17)))</f>
        <v/>
      </c>
      <c r="H825" s="95" t="str">
        <f t="shared" ca="1" si="310"/>
        <v>0-0</v>
      </c>
      <c r="I825" s="95" t="str">
        <f>IF(AND(J825=$I$2,F$17=0,NOT(E$17="")),IF(OR(AND(Y825=AA825,Z825=AB825),AND(Y825=AB825,Z825=AA825)),"",IF(AND(Y825=Z825,AA825=AB825),Y825&amp;" +2 v. "&amp;AA825&amp;" +2, ",IF(Y825=AA825,Z825&amp;" v. "&amp;AB825&amp;", ",IF(Z825=AB825,Y825&amp;" v. "&amp;AA825&amp;", ",IF(Y825=AB825,Z825&amp;" v. "&amp;AA825&amp;", ",IF(Z825=AA825,Y825&amp;" v. "&amp;AB825&amp;", ",Y825&amp;" v. "&amp;AA825&amp;", "&amp;Z825&amp;" v. "&amp;AB825&amp;", ")))))),"")</f>
        <v/>
      </c>
      <c r="J825" s="97">
        <f>D$17</f>
        <v>1</v>
      </c>
      <c r="K825" s="95" t="str">
        <f t="shared" ca="1" si="311"/>
        <v>SR</v>
      </c>
      <c r="L825" s="95" t="str">
        <f t="shared" ca="1" si="312"/>
        <v>0</v>
      </c>
      <c r="M825" s="95" t="str">
        <f t="shared" ca="1" si="313"/>
        <v>0</v>
      </c>
      <c r="N825" s="95" t="str">
        <f t="shared" ca="1" si="314"/>
        <v>0</v>
      </c>
      <c r="O825" s="95" t="str">
        <f t="shared" ca="1" si="315"/>
        <v>0</v>
      </c>
      <c r="P825" s="95" t="str">
        <f t="shared" ca="1" si="316"/>
        <v>0</v>
      </c>
      <c r="Q825" s="95">
        <f ca="1">IF(AND(G825=T$17,LEN(G825)&gt;1),1,0)</f>
        <v>0</v>
      </c>
      <c r="R825" s="97">
        <f>Doubles!G$17</f>
        <v>16</v>
      </c>
      <c r="S825" s="95">
        <f ca="1">IF(AND(H825=H$17,LEN(H825)&gt;1,Q825=1),1,0)</f>
        <v>0</v>
      </c>
      <c r="V825" s="97">
        <f ca="1">VLOOKUP(16,R810:S833,2,0)</f>
        <v>0</v>
      </c>
      <c r="W825" s="95" t="str">
        <f t="shared" ca="1" si="317"/>
        <v/>
      </c>
      <c r="X825" s="95">
        <f ca="1">IF(F$17=0,IF(AND(G799=G851,NOT(G773=G799),NOT(G825=G851),LEN(W773)&gt;0),2,IF(LEN(W773)=0,0,1)),0)</f>
        <v>0</v>
      </c>
      <c r="AC825" s="95" t="str">
        <f ca="1">IF(AND(LEN(W825)&gt;0,F$17=0),IF(X825=2,W825&amp;" +2, ",W825&amp;", "),"")</f>
        <v/>
      </c>
    </row>
    <row r="826" spans="1:29">
      <c r="A826" s="95">
        <v>17</v>
      </c>
      <c r="B826" s="95">
        <f>IF(Doubles!O107="",0,Doubles!O107)</f>
        <v>0</v>
      </c>
      <c r="C826" s="99" t="str">
        <f>IF(OR(LEFT(B826,LEN(B$18))=B$18,LEFT(B826,LEN(C$18))=C$18,LEN(B826)&lt;2),"",IF(B826="no pick","","Wrong pick"))</f>
        <v/>
      </c>
      <c r="D826" s="95">
        <f t="shared" si="308"/>
        <v>0</v>
      </c>
      <c r="E826" s="95">
        <f t="shared" si="309"/>
        <v>0</v>
      </c>
      <c r="G826" s="95" t="str">
        <f>IF(B826=0,"",IF(B826="no pick","No Pick",IF(LEFT(B826,LEN(B$18))=B$18,B$18,C$18)))</f>
        <v/>
      </c>
      <c r="H826" s="95" t="str">
        <f t="shared" si="310"/>
        <v>0-0</v>
      </c>
      <c r="I826" s="95" t="str">
        <f>IF(AND(J826=$I$2,F$18=0,NOT(E$18="")),IF(OR(AND(Y826=AA826,Z826=AB826),AND(Y826=AB826,Z826=AA826)),"",IF(AND(Y826=Z826,AA826=AB826),Y826&amp;" +2 v. "&amp;AA826&amp;" +2, ",IF(Y826=AA826,Z826&amp;" v. "&amp;AB826&amp;", ",IF(Z826=AB826,Y826&amp;" v. "&amp;AA826&amp;", ",IF(Y826=AB826,Z826&amp;" v. "&amp;AA826&amp;", ",IF(Z826=AA826,Y826&amp;" v. "&amp;AB826&amp;", ",Y826&amp;" v. "&amp;AA826&amp;", "&amp;Z826&amp;" v. "&amp;AB826&amp;", ")))))),"")</f>
        <v/>
      </c>
      <c r="J826" s="95">
        <f>D$18</f>
        <v>0</v>
      </c>
      <c r="K826" s="95" t="str">
        <f t="shared" si="311"/>
        <v>SR</v>
      </c>
      <c r="L826" s="95" t="str">
        <f t="shared" si="312"/>
        <v>0</v>
      </c>
      <c r="M826" s="95" t="str">
        <f t="shared" si="313"/>
        <v>0</v>
      </c>
      <c r="N826" s="95" t="str">
        <f t="shared" si="314"/>
        <v>0</v>
      </c>
      <c r="O826" s="95" t="str">
        <f t="shared" si="315"/>
        <v>0</v>
      </c>
      <c r="P826" s="95" t="str">
        <f t="shared" si="316"/>
        <v>0</v>
      </c>
      <c r="Q826" s="95">
        <f>IF(AND(G826=T$18,LEN(G826)&gt;1),1,0)</f>
        <v>0</v>
      </c>
      <c r="R826" s="97">
        <f>Doubles!G$18</f>
        <v>17</v>
      </c>
      <c r="S826" s="95">
        <f>IF(AND(H826=H$18,LEN(H826)&gt;1,Q826=1),1,0)</f>
        <v>0</v>
      </c>
      <c r="V826" s="95">
        <f>VLOOKUP(17,R810:S833,2,0)</f>
        <v>0</v>
      </c>
      <c r="W826" s="95" t="str">
        <f t="shared" si="317"/>
        <v/>
      </c>
      <c r="X826" s="95">
        <f>IF(F$18=0,IF(AND(G800=G852,NOT(G774=G800),NOT(G826=G852),LEN(W774)&gt;0),2,IF(LEN(W774)=0,0,1)),0)</f>
        <v>0</v>
      </c>
      <c r="AC826" s="95" t="str">
        <f>IF(AND(LEN(W826)&gt;0,F$18=0),IF(X826=2,W826&amp;" +2, ",W826&amp;", "),"")</f>
        <v/>
      </c>
    </row>
    <row r="827" spans="1:29">
      <c r="A827" s="95">
        <v>18</v>
      </c>
      <c r="B827" s="95">
        <f>IF(Doubles!O108="",0,Doubles!O108)</f>
        <v>0</v>
      </c>
      <c r="C827" s="99" t="str">
        <f>IF(OR(LEFT(B827,LEN(B$19))=B$19,LEFT(B827,LEN(C$19))=C$19,LEN(B827)&lt;2),"",IF(B827="no pick","","Wrong pick"))</f>
        <v/>
      </c>
      <c r="D827" s="95">
        <f t="shared" si="308"/>
        <v>0</v>
      </c>
      <c r="E827" s="95">
        <f t="shared" si="309"/>
        <v>0</v>
      </c>
      <c r="G827" s="95" t="str">
        <f>IF(B827=0,"",IF(B827="no pick","No Pick",IF(LEFT(B827,LEN(B$19))=B$19,B$19,C$19)))</f>
        <v/>
      </c>
      <c r="H827" s="95" t="str">
        <f t="shared" si="310"/>
        <v>0-0</v>
      </c>
      <c r="I827" s="95" t="str">
        <f>IF(AND(J827=$I$2,F$19=0,NOT(E$19="")),IF(OR(AND(Y827=AA827,Z827=AB827),AND(Y827=AB827,Z827=AA827)),"",IF(AND(Y827=Z827,AA827=AB827),Y827&amp;" +2 v. "&amp;AA827&amp;" +2, ",IF(Y827=AA827,Z827&amp;" v. "&amp;AB827&amp;", ",IF(Z827=AB827,Y827&amp;" v. "&amp;AA827&amp;", ",IF(Y827=AB827,Z827&amp;" v. "&amp;AA827&amp;", ",IF(Z827=AA827,Y827&amp;" v. "&amp;AB827&amp;", ",Y827&amp;" v. "&amp;AA827&amp;", "&amp;Z827&amp;" v. "&amp;AB827&amp;", ")))))),"")</f>
        <v/>
      </c>
      <c r="J827" s="95">
        <f>D$19</f>
        <v>0</v>
      </c>
      <c r="K827" s="95" t="str">
        <f t="shared" si="311"/>
        <v>SR</v>
      </c>
      <c r="L827" s="95" t="str">
        <f t="shared" si="312"/>
        <v>0</v>
      </c>
      <c r="M827" s="95" t="str">
        <f t="shared" si="313"/>
        <v>0</v>
      </c>
      <c r="N827" s="95" t="str">
        <f t="shared" si="314"/>
        <v>0</v>
      </c>
      <c r="O827" s="95" t="str">
        <f t="shared" si="315"/>
        <v>0</v>
      </c>
      <c r="P827" s="95" t="str">
        <f t="shared" si="316"/>
        <v>0</v>
      </c>
      <c r="Q827" s="95">
        <f>IF(AND(G827=T$19,LEN(G827)&gt;1),1,0)</f>
        <v>0</v>
      </c>
      <c r="R827" s="97">
        <f>Doubles!G$19</f>
        <v>18</v>
      </c>
      <c r="S827" s="95">
        <f>IF(AND(H827=H$19,LEN(H827)&gt;1,Q827=1),1,0)</f>
        <v>0</v>
      </c>
      <c r="V827" s="97">
        <f>VLOOKUP(18,R810:S833,2,0)</f>
        <v>0</v>
      </c>
      <c r="W827" s="95" t="str">
        <f t="shared" si="317"/>
        <v/>
      </c>
      <c r="X827" s="95">
        <f>IF(F$19=0,IF(AND(G801=G853,NOT(G775=G801),NOT(G827=G853),LEN(W775)&gt;0),2,IF(LEN(W775)=0,0,1)),0)</f>
        <v>0</v>
      </c>
      <c r="AC827" s="95" t="str">
        <f>IF(AND(LEN(W827)&gt;0,F$19=0),IF(X827=2,W827&amp;" +2, ",W827&amp;", "),"")</f>
        <v/>
      </c>
    </row>
    <row r="828" spans="1:29">
      <c r="A828" s="95">
        <v>19</v>
      </c>
      <c r="B828" s="95">
        <f>IF(Doubles!O109="",0,Doubles!O109)</f>
        <v>0</v>
      </c>
      <c r="C828" s="99" t="str">
        <f>IF(OR(LEFT(B828,LEN(B$20))=B$20,LEFT(B828,LEN(C$20))=C$20,LEN(B828)&lt;2),"",IF(B828="no pick","","Wrong pick"))</f>
        <v/>
      </c>
      <c r="D828" s="95">
        <f t="shared" si="308"/>
        <v>0</v>
      </c>
      <c r="E828" s="95">
        <f t="shared" si="309"/>
        <v>0</v>
      </c>
      <c r="G828" s="95" t="str">
        <f>IF(B828=0,"",IF(B828="no pick","No Pick",IF(LEFT(B828,LEN(B$20))=B$20,B$20,C$20)))</f>
        <v/>
      </c>
      <c r="H828" s="95" t="str">
        <f t="shared" si="310"/>
        <v>0-0</v>
      </c>
      <c r="I828" s="95" t="str">
        <f>IF(AND(J828=$I$2,F$20=0,NOT(E$20="")),IF(OR(AND(Y828=AA828,Z828=AB828),AND(Y828=AB828,Z828=AA828)),"",IF(AND(Y828=Z828,AA828=AB828),Y828&amp;" +2 v. "&amp;AA828&amp;" +2, ",IF(Y828=AA828,Z828&amp;" v. "&amp;AB828&amp;", ",IF(Z828=AB828,Y828&amp;" v. "&amp;AA828&amp;", ",IF(Y828=AB828,Z828&amp;" v. "&amp;AA828&amp;", ",IF(Z828=AA828,Y828&amp;" v. "&amp;AB828&amp;", ",Y828&amp;" v. "&amp;AA828&amp;", "&amp;Z828&amp;" v. "&amp;AB828&amp;", ")))))),"")</f>
        <v/>
      </c>
      <c r="J828" s="95">
        <f>D$20</f>
        <v>0</v>
      </c>
      <c r="K828" s="95" t="str">
        <f t="shared" si="311"/>
        <v>SR</v>
      </c>
      <c r="L828" s="95" t="str">
        <f t="shared" si="312"/>
        <v>0</v>
      </c>
      <c r="M828" s="95" t="str">
        <f t="shared" si="313"/>
        <v>0</v>
      </c>
      <c r="N828" s="95" t="str">
        <f t="shared" si="314"/>
        <v>0</v>
      </c>
      <c r="O828" s="95" t="str">
        <f t="shared" si="315"/>
        <v>0</v>
      </c>
      <c r="P828" s="95" t="str">
        <f t="shared" si="316"/>
        <v>0</v>
      </c>
      <c r="Q828" s="95">
        <f>IF(AND(G828=T$20,LEN(G828)&gt;1),1,0)</f>
        <v>0</v>
      </c>
      <c r="R828" s="97">
        <f>Doubles!G$20</f>
        <v>19</v>
      </c>
      <c r="S828" s="95">
        <f>IF(AND(H828=H$20,LEN(H828)&gt;1,Q828=1),1,0)</f>
        <v>0</v>
      </c>
      <c r="V828" s="97">
        <f>VLOOKUP(19,R810:S833,2,0)</f>
        <v>0</v>
      </c>
      <c r="W828" s="95" t="str">
        <f t="shared" si="317"/>
        <v/>
      </c>
      <c r="X828" s="95">
        <f>IF(F$20=0,IF(AND(G802=G854,NOT(G776=G802),NOT(G828=G854),LEN(W776)&gt;0),2,IF(LEN(W776)=0,0,1)),0)</f>
        <v>0</v>
      </c>
      <c r="AC828" s="95" t="str">
        <f>IF(AND(LEN(W828)&gt;0,F$20=0),IF(X828=2,W828&amp;" +2, ",W828&amp;", "),"")</f>
        <v/>
      </c>
    </row>
    <row r="829" spans="1:29">
      <c r="A829" s="95">
        <v>20</v>
      </c>
      <c r="B829" s="95">
        <f>IF(Doubles!O110="",0,Doubles!O110)</f>
        <v>0</v>
      </c>
      <c r="C829" s="99" t="str">
        <f>IF(OR(LEFT(B829,LEN(B$21))=B$21,LEFT(B829,LEN(C$21))=C$21,LEN(B829)&lt;2),"",IF(B829="no pick","","Wrong pick"))</f>
        <v/>
      </c>
      <c r="D829" s="95">
        <f t="shared" si="308"/>
        <v>0</v>
      </c>
      <c r="E829" s="95">
        <f t="shared" si="309"/>
        <v>0</v>
      </c>
      <c r="G829" s="95" t="str">
        <f>IF(B829=0,"",IF(B829="no pick","No Pick",IF(LEFT(B829,LEN(B$21))=B$21,B$21,C$21)))</f>
        <v/>
      </c>
      <c r="H829" s="95" t="str">
        <f t="shared" si="310"/>
        <v>0-0</v>
      </c>
      <c r="I829" s="95" t="str">
        <f>IF(AND(J829=$I$2,F$21=0,NOT(E$21="")),IF(OR(AND(Y829=AA829,Z829=AB829),AND(Y829=AB829,Z829=AA829)),"",IF(AND(Y829=Z829,AA829=AB829),Y829&amp;" +2 v. "&amp;AA829&amp;" +2, ",IF(Y829=AA829,Z829&amp;" v. "&amp;AB829&amp;", ",IF(Z829=AB829,Y829&amp;" v. "&amp;AA829&amp;", ",IF(Y829=AB829,Z829&amp;" v. "&amp;AA829&amp;", ",IF(Z829=AA829,Y829&amp;" v. "&amp;AB829&amp;", ",Y829&amp;" v. "&amp;AA829&amp;", "&amp;Z829&amp;" v. "&amp;AB829&amp;", ")))))),"")</f>
        <v/>
      </c>
      <c r="J829" s="95">
        <f>D$21</f>
        <v>0</v>
      </c>
      <c r="K829" s="95" t="str">
        <f t="shared" si="311"/>
        <v>SR</v>
      </c>
      <c r="L829" s="95" t="str">
        <f t="shared" si="312"/>
        <v>0</v>
      </c>
      <c r="M829" s="95" t="str">
        <f t="shared" si="313"/>
        <v>0</v>
      </c>
      <c r="N829" s="95" t="str">
        <f t="shared" si="314"/>
        <v>0</v>
      </c>
      <c r="O829" s="95" t="str">
        <f t="shared" si="315"/>
        <v>0</v>
      </c>
      <c r="P829" s="95" t="str">
        <f t="shared" si="316"/>
        <v>0</v>
      </c>
      <c r="Q829" s="95">
        <f>IF(AND(G829=T$21,LEN(G829)&gt;1),1,0)</f>
        <v>0</v>
      </c>
      <c r="R829" s="97">
        <f>Doubles!G$21</f>
        <v>20</v>
      </c>
      <c r="S829" s="95">
        <f>IF(AND(H829=H$21,LEN(H829)&gt;1,Q829=1),1,0)</f>
        <v>0</v>
      </c>
      <c r="V829" s="97">
        <f>VLOOKUP(20,R810:S833,2,0)</f>
        <v>0</v>
      </c>
      <c r="W829" s="95" t="str">
        <f t="shared" si="317"/>
        <v/>
      </c>
      <c r="X829" s="95">
        <f>IF(F$21=0,IF(AND(G803=G855,NOT(G777=G803),NOT(G829=G855),LEN(W777)&gt;0),2,IF(LEN(W777)=0,0,1)),0)</f>
        <v>0</v>
      </c>
      <c r="AC829" s="95" t="str">
        <f>IF(AND(LEN(W829)&gt;0,F$21=0),IF(X829=2,W829&amp;" +2, ",W829&amp;", "),"")</f>
        <v/>
      </c>
    </row>
    <row r="830" spans="1:29">
      <c r="A830" s="95">
        <v>21</v>
      </c>
      <c r="B830" s="95">
        <f>IF(Doubles!O111="",0,Doubles!O111)</f>
        <v>0</v>
      </c>
      <c r="C830" s="99" t="str">
        <f>IF(OR(LEFT(B830,LEN(B$22))=B$22,LEFT(B830,LEN(C$22))=C$22,LEN(B830)&lt;2),"",IF(B830="no pick","","Wrong pick"))</f>
        <v/>
      </c>
      <c r="D830" s="95">
        <f t="shared" si="308"/>
        <v>0</v>
      </c>
      <c r="E830" s="95">
        <f t="shared" si="309"/>
        <v>0</v>
      </c>
      <c r="G830" s="95" t="str">
        <f>IF(B830=0,"",IF(B830="no pick","No Pick",IF(LEFT(B830,LEN(B$22))=B$22,B$22,C$22)))</f>
        <v/>
      </c>
      <c r="H830" s="95" t="str">
        <f t="shared" si="310"/>
        <v>0-0</v>
      </c>
      <c r="I830" s="95" t="str">
        <f>IF(AND(J830=$I$2,F$22=0,NOT(E$22="")),IF(OR(AND(Y830=AA830,Z830=AB830),AND(Y830=AB830,Z830=AA830)),"",IF(AND(Y830=Z830,AA830=AB830),Y830&amp;" +2 v. "&amp;AA830&amp;" +2, ",IF(Y830=AA830,Z830&amp;" v. "&amp;AB830&amp;", ",IF(Z830=AB830,Y830&amp;" v. "&amp;AA830&amp;", ",IF(Y830=AB830,Z830&amp;" v. "&amp;AA830&amp;", ",IF(Z830=AA830,Y830&amp;" v. "&amp;AB830&amp;", ",Y830&amp;" v. "&amp;AA830&amp;", "&amp;Z830&amp;" v. "&amp;AB830&amp;", ")))))),"")</f>
        <v/>
      </c>
      <c r="J830" s="95">
        <f>D$22</f>
        <v>0</v>
      </c>
      <c r="K830" s="95" t="str">
        <f t="shared" si="311"/>
        <v>SR</v>
      </c>
      <c r="L830" s="95" t="str">
        <f t="shared" si="312"/>
        <v>0</v>
      </c>
      <c r="M830" s="95" t="str">
        <f t="shared" si="313"/>
        <v>0</v>
      </c>
      <c r="N830" s="95" t="str">
        <f t="shared" si="314"/>
        <v>0</v>
      </c>
      <c r="O830" s="95" t="str">
        <f t="shared" si="315"/>
        <v>0</v>
      </c>
      <c r="P830" s="95" t="str">
        <f t="shared" si="316"/>
        <v>0</v>
      </c>
      <c r="Q830" s="95">
        <f>IF(AND(G830=T$22,LEN(G830)&gt;1),1,0)</f>
        <v>0</v>
      </c>
      <c r="R830" s="97">
        <f>Doubles!G$22</f>
        <v>21</v>
      </c>
      <c r="S830" s="95">
        <f>IF(AND(H830=H$22,LEN(H830)&gt;1,Q830=1),1,0)</f>
        <v>0</v>
      </c>
      <c r="V830" s="97">
        <f>VLOOKUP(21,R810:S833,2,0)</f>
        <v>0</v>
      </c>
      <c r="W830" s="95" t="str">
        <f t="shared" si="317"/>
        <v/>
      </c>
      <c r="X830" s="95">
        <f>IF(F$22=0,IF(AND(G804=G856,NOT(G778=G804),NOT(G830=G856),LEN(W778)&gt;0),2,IF(LEN(W778)=0,0,1)),0)</f>
        <v>0</v>
      </c>
      <c r="AC830" s="95" t="str">
        <f>IF(AND(LEN(W830)&gt;0,F$22=0),IF(X830=2,W830&amp;" +2, ",W830&amp;", "),"")</f>
        <v/>
      </c>
    </row>
    <row r="831" spans="1:29">
      <c r="A831" s="95">
        <v>22</v>
      </c>
      <c r="B831" s="95">
        <f>IF(Doubles!O112="",0,Doubles!O112)</f>
        <v>0</v>
      </c>
      <c r="C831" s="99" t="str">
        <f>IF(OR(LEFT(B831,LEN(B$23))=B$23,LEFT(B831,LEN(C$23))=C$23,LEN(B831)&lt;2),"",IF(B831="no pick","","Wrong pick"))</f>
        <v/>
      </c>
      <c r="D831" s="95">
        <f t="shared" si="308"/>
        <v>0</v>
      </c>
      <c r="E831" s="95">
        <f t="shared" si="309"/>
        <v>0</v>
      </c>
      <c r="G831" s="95" t="str">
        <f>IF(B831=0,"",IF(B831="no pick","No Pick",IF(LEFT(B831,LEN(B$23))=B$23,B$23,C$23)))</f>
        <v/>
      </c>
      <c r="H831" s="95" t="str">
        <f t="shared" si="310"/>
        <v>0-0</v>
      </c>
      <c r="I831" s="95" t="str">
        <f>IF(AND(J831=$I$2,F$23=0,NOT(E$23="")),IF(OR(AND(Y831=AA831,Z831=AB831),AND(Y831=AB831,Z831=AA831)),"",IF(AND(Y831=Z831,AA831=AB831),Y831&amp;" +2 v. "&amp;AA831&amp;" +2, ",IF(Y831=AA831,Z831&amp;" v. "&amp;AB831&amp;", ",IF(Z831=AB831,Y831&amp;" v. "&amp;AA831&amp;", ",IF(Y831=AB831,Z831&amp;" v. "&amp;AA831&amp;", ",IF(Z831=AA831,Y831&amp;" v. "&amp;AB831&amp;", ",Y831&amp;" v. "&amp;AA831&amp;", "&amp;Z831&amp;" v. "&amp;AB831&amp;", ")))))),"")</f>
        <v/>
      </c>
      <c r="J831" s="95">
        <f>D$23</f>
        <v>0</v>
      </c>
      <c r="K831" s="95" t="str">
        <f t="shared" si="311"/>
        <v>SR</v>
      </c>
      <c r="L831" s="95" t="str">
        <f t="shared" si="312"/>
        <v>0</v>
      </c>
      <c r="M831" s="95" t="str">
        <f t="shared" si="313"/>
        <v>0</v>
      </c>
      <c r="N831" s="95" t="str">
        <f t="shared" si="314"/>
        <v>0</v>
      </c>
      <c r="O831" s="95" t="str">
        <f t="shared" si="315"/>
        <v>0</v>
      </c>
      <c r="P831" s="95" t="str">
        <f t="shared" si="316"/>
        <v>0</v>
      </c>
      <c r="Q831" s="95">
        <f>IF(AND(G831=T$23,LEN(G831)&gt;1),1,0)</f>
        <v>0</v>
      </c>
      <c r="R831" s="97">
        <f>Doubles!G$23</f>
        <v>22</v>
      </c>
      <c r="S831" s="95">
        <f>IF(AND(H831=H$23,LEN(H831)&gt;1,Q831=1),1,0)</f>
        <v>0</v>
      </c>
      <c r="V831" s="97">
        <f>VLOOKUP(22,R810:S833,2,0)</f>
        <v>0</v>
      </c>
      <c r="W831" s="95" t="str">
        <f t="shared" si="317"/>
        <v/>
      </c>
      <c r="X831" s="95">
        <f>IF(F$23=0,IF(AND(G805=G857,NOT(G779=G805),NOT(G831=G857),LEN(W779)&gt;0),2,IF(LEN(W779)=0,0,1)),0)</f>
        <v>0</v>
      </c>
      <c r="AC831" s="95" t="str">
        <f>IF(AND(LEN(W831)&gt;0,F$23=0),IF(X831=2,W831&amp;" +2, ",W831&amp;", "),"")</f>
        <v/>
      </c>
    </row>
    <row r="832" spans="1:29">
      <c r="A832" s="95">
        <v>23</v>
      </c>
      <c r="B832" s="95">
        <f>IF(Doubles!O113="",0,Doubles!O113)</f>
        <v>0</v>
      </c>
      <c r="C832" s="99" t="str">
        <f>IF(OR(LEFT(B832,LEN(B$24))=B$24,LEFT(B832,LEN(C$24))=C$24,LEN(B832)&lt;2),"",IF(B832="no pick","","Wrong pick"))</f>
        <v/>
      </c>
      <c r="D832" s="95">
        <f t="shared" si="308"/>
        <v>0</v>
      </c>
      <c r="E832" s="95">
        <f t="shared" si="309"/>
        <v>0</v>
      </c>
      <c r="G832" s="95" t="str">
        <f>IF(B832=0,"",IF(B832="no pick","No Pick",IF(LEFT(B832,LEN(B$24))=B$24,B$24,C$24)))</f>
        <v/>
      </c>
      <c r="H832" s="95" t="str">
        <f t="shared" si="310"/>
        <v>0-0</v>
      </c>
      <c r="I832" s="95" t="str">
        <f>IF(AND(J832=$I$2,F$24=0,NOT(E$24="")),IF(OR(AND(Y832=AA832,Z832=AB832),AND(Y832=AB832,Z832=AA832)),"",IF(AND(Y832=Z832,AA832=AB832),Y832&amp;" +2 v. "&amp;AA832&amp;" +2, ",IF(Y832=AA832,Z832&amp;" v. "&amp;AB832&amp;", ",IF(Z832=AB832,Y832&amp;" v. "&amp;AA832&amp;", ",IF(Y832=AB832,Z832&amp;" v. "&amp;AA832&amp;", ",IF(Z832=AA832,Y832&amp;" v. "&amp;AB832&amp;", ",Y832&amp;" v. "&amp;AA832&amp;", "&amp;Z832&amp;" v. "&amp;AB832&amp;", ")))))),"")</f>
        <v/>
      </c>
      <c r="J832" s="95">
        <f>D$24</f>
        <v>0</v>
      </c>
      <c r="K832" s="95" t="str">
        <f t="shared" si="311"/>
        <v>SR</v>
      </c>
      <c r="L832" s="95" t="str">
        <f t="shared" si="312"/>
        <v>0</v>
      </c>
      <c r="M832" s="95" t="str">
        <f t="shared" si="313"/>
        <v>0</v>
      </c>
      <c r="N832" s="95" t="str">
        <f t="shared" si="314"/>
        <v>0</v>
      </c>
      <c r="O832" s="95" t="str">
        <f t="shared" si="315"/>
        <v>0</v>
      </c>
      <c r="P832" s="95" t="str">
        <f t="shared" si="316"/>
        <v>0</v>
      </c>
      <c r="Q832" s="95">
        <f>IF(AND(G832=T$24,LEN(G832)&gt;1),1,0)</f>
        <v>0</v>
      </c>
      <c r="R832" s="97">
        <f>Doubles!G$24</f>
        <v>23</v>
      </c>
      <c r="S832" s="95">
        <f>IF(AND(H832=H$24,LEN(H832)&gt;1,Q832=1),1,0)</f>
        <v>0</v>
      </c>
      <c r="V832" s="97">
        <f>VLOOKUP(23,R810:S833,2,0)</f>
        <v>0</v>
      </c>
      <c r="W832" s="95" t="str">
        <f t="shared" si="317"/>
        <v/>
      </c>
      <c r="X832" s="95">
        <f>IF(F$24=0,IF(AND(G806=G858,NOT(G780=G806),NOT(G832=G858),LEN(W780)&gt;0),2,IF(LEN(W780)=0,0,1)),0)</f>
        <v>0</v>
      </c>
      <c r="AC832" s="95" t="str">
        <f>IF(AND(LEN(W832)&gt;0,F$24=0),IF(X832=2,W832&amp;" +2, ",W832&amp;", "),"")</f>
        <v/>
      </c>
    </row>
    <row r="833" spans="1:29">
      <c r="A833" s="95">
        <v>24</v>
      </c>
      <c r="B833" s="95">
        <f>IF(Doubles!O114="",0,Doubles!O114)</f>
        <v>0</v>
      </c>
      <c r="C833" s="99" t="str">
        <f>IF(OR(LEFT(B833,LEN(B$25))=B$25,LEFT(B833,LEN(C$25))=C$25,LEN(B833)&lt;2),"",IF(B833="no pick","","Wrong pick"))</f>
        <v/>
      </c>
      <c r="D833" s="95">
        <f t="shared" si="308"/>
        <v>0</v>
      </c>
      <c r="E833" s="95">
        <f t="shared" si="309"/>
        <v>0</v>
      </c>
      <c r="G833" s="95" t="str">
        <f>IF(B833=0,"",IF(B833="no pick","No Pick",IF(LEFT(B833,LEN(B$25))=B$25,B$25,C$25)))</f>
        <v/>
      </c>
      <c r="H833" s="95" t="str">
        <f t="shared" si="310"/>
        <v>0-0</v>
      </c>
      <c r="I833" s="95" t="str">
        <f>IF(AND(J833=$I$2,F$25=0,NOT(E$25="")),IF(OR(AND(Y833=AA833,Z833=AB833),AND(Y833=AB833,Z833=AA833)),"",IF(AND(Y833=Z833,AA833=AB833),Y833&amp;" +2 v. "&amp;AA833&amp;" +2, ",IF(Y833=AA833,Z833&amp;" v. "&amp;AB833&amp;", ",IF(Z833=AB833,Y833&amp;" v. "&amp;AA833&amp;", ",IF(Y833=AB833,Z833&amp;" v. "&amp;AA833&amp;", ",IF(Z833=AA833,Y833&amp;" v. "&amp;AB833&amp;", ",Y833&amp;" v. "&amp;AA833&amp;", "&amp;Z833&amp;" v. "&amp;AB833&amp;", ")))))),"")</f>
        <v/>
      </c>
      <c r="J833" s="95">
        <f>D$25</f>
        <v>0</v>
      </c>
      <c r="K833" s="95" t="str">
        <f t="shared" si="311"/>
        <v>SR</v>
      </c>
      <c r="L833" s="95" t="str">
        <f t="shared" si="312"/>
        <v>0</v>
      </c>
      <c r="M833" s="95" t="str">
        <f t="shared" si="313"/>
        <v>0</v>
      </c>
      <c r="N833" s="95" t="str">
        <f t="shared" si="314"/>
        <v>0</v>
      </c>
      <c r="O833" s="95" t="str">
        <f t="shared" si="315"/>
        <v>0</v>
      </c>
      <c r="P833" s="95" t="str">
        <f t="shared" si="316"/>
        <v>0</v>
      </c>
      <c r="Q833" s="95">
        <f>IF(AND(G833=T$25,LEN(G833)&gt;1),1,0)</f>
        <v>0</v>
      </c>
      <c r="R833" s="97">
        <f>Doubles!G$25</f>
        <v>24</v>
      </c>
      <c r="S833" s="95">
        <f>IF(AND(H833=H$25,LEN(H833)&gt;1,Q833=1),1,0)</f>
        <v>0</v>
      </c>
      <c r="V833" s="97">
        <f>VLOOKUP(24,R810:S833,2,0)</f>
        <v>0</v>
      </c>
      <c r="W833" s="95" t="str">
        <f t="shared" si="317"/>
        <v/>
      </c>
      <c r="X833" s="95">
        <f>IF(F$25=0,IF(AND(G807=G859,NOT(G781=G807),NOT(G833=G859),LEN(W781)&gt;0),2,IF(LEN(W781)=0,0,1)),0)</f>
        <v>0</v>
      </c>
      <c r="AC833" s="95" t="str">
        <f>IF(AND(LEN(W833)&gt;0,F$25=0),IF(X833=2,W833&amp;" +2, ",W833&amp;", "),"")</f>
        <v/>
      </c>
    </row>
    <row r="835" spans="1:29">
      <c r="A835" s="95" t="e">
        <f>IF(LEN(VLOOKUP(B835,Doubles!$B$2:$D$17,3,0))&gt;0,VLOOKUP(B835,Doubles!$B$2:$D$17,3,0),"")</f>
        <v>#N/A</v>
      </c>
      <c r="B835" s="96">
        <f>Doubles!Q90</f>
        <v>0</v>
      </c>
      <c r="C835" s="96">
        <v>4</v>
      </c>
      <c r="D835" s="95" t="e">
        <f>VLOOKUP(B835,Doubles!$B$2:$F$17,5,0)</f>
        <v>#N/A</v>
      </c>
      <c r="J835" s="95" t="s">
        <v>88</v>
      </c>
      <c r="Q835" s="95" t="s">
        <v>121</v>
      </c>
      <c r="S835" s="95" t="s">
        <v>122</v>
      </c>
      <c r="T835" s="95">
        <f>B835</f>
        <v>0</v>
      </c>
      <c r="V835" s="95" t="s">
        <v>122</v>
      </c>
    </row>
    <row r="836" spans="1:29">
      <c r="A836" s="95">
        <v>1</v>
      </c>
      <c r="B836" s="95">
        <f ca="1">IF(Doubles!Q91="",0,Doubles!Q91)</f>
        <v>0</v>
      </c>
      <c r="C836" s="99" t="str">
        <f ca="1">IF(OR(LEFT(B836,LEN(B$2))=B$2,LEFT(B836,LEN(C$2))=C$2,LEN(B836)&lt;2),"",IF(B836="no pick","","Wrong pick"))</f>
        <v/>
      </c>
      <c r="E836" s="95">
        <f t="shared" ref="E836:E859" ca="1" si="318">IF(AND($I$2=J836,B836=0),1,0)</f>
        <v>1</v>
      </c>
      <c r="F836" s="95" t="str">
        <f ca="1">IF(AND(SUM(E836:E859)=$I$4,NOT(B835="Bye")),"Missing picks from "&amp;B835&amp;" ","")</f>
        <v xml:space="preserve">Missing picks from 0 </v>
      </c>
      <c r="G836" s="95" t="str">
        <f ca="1">IF(B836=0,"",IF(B836="no pick","No Pick",IF(LEFT(B836,LEN(B$2))=B$2,B$2,C$2)))</f>
        <v/>
      </c>
      <c r="H836" s="95" t="str">
        <f t="shared" ref="H836:H859" ca="1" si="319">IF(L836="","",IF(K836="PTS",IF(LEN(O836)&lt;8,"2-0","2-1"),LEFT(O836,1)&amp;"-"&amp;RIGHT(O836,1)))</f>
        <v>0-0</v>
      </c>
      <c r="J836" s="97">
        <f>D$2</f>
        <v>1</v>
      </c>
      <c r="K836" s="95" t="str">
        <f t="shared" ref="K836:K859" ca="1" si="320">IF(LEN(L836)&gt;0,IF(LEN(O836)&lt;4,"SR","PTS"),"")</f>
        <v>SR</v>
      </c>
      <c r="L836" s="95" t="str">
        <f t="shared" ref="L836:L859" ca="1" si="321">TRIM(RIGHT(B836,LEN(B836)-LEN(G836)))</f>
        <v>0</v>
      </c>
      <c r="M836" s="95" t="str">
        <f t="shared" ref="M836:M859" ca="1" si="322">SUBSTITUTE(L836,"-","")</f>
        <v>0</v>
      </c>
      <c r="N836" s="95" t="str">
        <f t="shared" ref="N836:N859" ca="1" si="323">SUBSTITUTE(M836,","," ")</f>
        <v>0</v>
      </c>
      <c r="O836" s="95" t="str">
        <f t="shared" ref="O836:O859" ca="1" si="324">IF(AND(LEN(TRIM(SUBSTITUTE(P836,"/","")))&gt;6,OR(LEFT(TRIM(SUBSTITUTE(P836,"/","")),2)="20",LEFT(TRIM(SUBSTITUTE(P836,"/","")),2)="21")),RIGHT(TRIM(SUBSTITUTE(P836,"/","")),LEN(TRIM(SUBSTITUTE(P836,"/","")))-3),TRIM(SUBSTITUTE(P836,"/","")))</f>
        <v>0</v>
      </c>
      <c r="P836" s="95" t="str">
        <f t="shared" ref="P836:P859" ca="1" si="325">SUBSTITUTE(N836,":","")</f>
        <v>0</v>
      </c>
      <c r="Q836" s="95">
        <f ca="1">IF(AND(G836=T$2,LEN(G836)&gt;1),1,0)</f>
        <v>0</v>
      </c>
      <c r="R836" s="97">
        <f>Doubles!G$2</f>
        <v>1</v>
      </c>
      <c r="S836" s="95">
        <f ca="1">IF(AND(H836=H$2,LEN(H836)&gt;1,Q836=1),1,0)</f>
        <v>0</v>
      </c>
      <c r="V836" s="97">
        <f ca="1">VLOOKUP(1,R836:S859,2,0)</f>
        <v>0</v>
      </c>
      <c r="W836" s="95">
        <v>1</v>
      </c>
    </row>
    <row r="837" spans="1:29">
      <c r="A837" s="95">
        <v>2</v>
      </c>
      <c r="B837" s="95">
        <f ca="1">IF(Doubles!Q92="",0,Doubles!Q92)</f>
        <v>0</v>
      </c>
      <c r="C837" s="99" t="str">
        <f ca="1">IF(OR(LEFT(B837,LEN(B$3))=B$3,LEFT(B837,LEN(C$3))=C$3,LEN(B837)&lt;2),"",IF(B837="no pick","","Wrong pick"))</f>
        <v/>
      </c>
      <c r="E837" s="95">
        <f t="shared" ca="1" si="318"/>
        <v>1</v>
      </c>
      <c r="G837" s="95" t="str">
        <f ca="1">IF(B837=0,"",IF(B837="no pick","No Pick",IF(LEFT(B837,LEN(B$3))=B$3,B$3,C$3)))</f>
        <v/>
      </c>
      <c r="H837" s="95" t="str">
        <f t="shared" ca="1" si="319"/>
        <v>0-0</v>
      </c>
      <c r="J837" s="97">
        <f>D$3</f>
        <v>1</v>
      </c>
      <c r="K837" s="95" t="str">
        <f t="shared" ca="1" si="320"/>
        <v>SR</v>
      </c>
      <c r="L837" s="95" t="str">
        <f t="shared" ca="1" si="321"/>
        <v>0</v>
      </c>
      <c r="M837" s="95" t="str">
        <f t="shared" ca="1" si="322"/>
        <v>0</v>
      </c>
      <c r="N837" s="95" t="str">
        <f t="shared" ca="1" si="323"/>
        <v>0</v>
      </c>
      <c r="O837" s="95" t="str">
        <f t="shared" ca="1" si="324"/>
        <v>0</v>
      </c>
      <c r="P837" s="95" t="str">
        <f t="shared" ca="1" si="325"/>
        <v>0</v>
      </c>
      <c r="Q837" s="95">
        <f ca="1">IF(AND(G837=T$3,LEN(G837)&gt;1),1,0)</f>
        <v>0</v>
      </c>
      <c r="R837" s="97">
        <f>Doubles!G$3</f>
        <v>2</v>
      </c>
      <c r="S837" s="95">
        <f ca="1">IF(AND(H837=H$3,LEN(H837)&gt;1,Q837=1),1,0)</f>
        <v>0</v>
      </c>
      <c r="V837" s="97">
        <f ca="1">VLOOKUP(2,R836:S859,2,0)</f>
        <v>0</v>
      </c>
      <c r="W837" s="95">
        <v>2</v>
      </c>
    </row>
    <row r="838" spans="1:29">
      <c r="A838" s="95">
        <v>3</v>
      </c>
      <c r="B838" s="95">
        <f ca="1">IF(Doubles!Q93="",0,Doubles!Q93)</f>
        <v>0</v>
      </c>
      <c r="C838" s="99" t="str">
        <f ca="1">IF(OR(LEFT(B838,LEN(B$4))=B$4,LEFT(B838,LEN(C$4))=C$4,LEN(B838)&lt;2),"",IF(B838="no pick","","Wrong pick"))</f>
        <v/>
      </c>
      <c r="E838" s="95">
        <f t="shared" ca="1" si="318"/>
        <v>1</v>
      </c>
      <c r="G838" s="95" t="str">
        <f ca="1">IF(B838=0,"",IF(B838="no pick","No Pick",IF(LEFT(B838,LEN(B$4))=B$4,B$4,C$4)))</f>
        <v/>
      </c>
      <c r="H838" s="95" t="str">
        <f t="shared" ca="1" si="319"/>
        <v>0-0</v>
      </c>
      <c r="J838" s="97">
        <f>D$4</f>
        <v>1</v>
      </c>
      <c r="K838" s="95" t="str">
        <f t="shared" ca="1" si="320"/>
        <v>SR</v>
      </c>
      <c r="L838" s="95" t="str">
        <f t="shared" ca="1" si="321"/>
        <v>0</v>
      </c>
      <c r="M838" s="95" t="str">
        <f t="shared" ca="1" si="322"/>
        <v>0</v>
      </c>
      <c r="N838" s="95" t="str">
        <f t="shared" ca="1" si="323"/>
        <v>0</v>
      </c>
      <c r="O838" s="95" t="str">
        <f t="shared" ca="1" si="324"/>
        <v>0</v>
      </c>
      <c r="P838" s="95" t="str">
        <f t="shared" ca="1" si="325"/>
        <v>0</v>
      </c>
      <c r="Q838" s="95">
        <f ca="1">IF(AND(G838=T$4,LEN(G838)&gt;1),1,0)</f>
        <v>0</v>
      </c>
      <c r="R838" s="97">
        <f>Doubles!G$4</f>
        <v>3</v>
      </c>
      <c r="S838" s="95">
        <f ca="1">IF(AND(H838=H$4,LEN(H838)&gt;1,Q838=1),1,0)</f>
        <v>0</v>
      </c>
      <c r="V838" s="97">
        <f ca="1">VLOOKUP(3,R836:S859,2,0)</f>
        <v>0</v>
      </c>
      <c r="W838" s="95">
        <v>3</v>
      </c>
    </row>
    <row r="839" spans="1:29">
      <c r="A839" s="95">
        <v>4</v>
      </c>
      <c r="B839" s="95">
        <f ca="1">IF(Doubles!Q94="",0,Doubles!Q94)</f>
        <v>0</v>
      </c>
      <c r="C839" s="99" t="str">
        <f ca="1">IF(OR(LEFT(B839,LEN(B$5))=B$5,LEFT(B839,LEN(C$5))=C$5,LEN(B839)&lt;2),"",IF(B839="no pick","","Wrong pick"))</f>
        <v/>
      </c>
      <c r="E839" s="95">
        <f t="shared" ca="1" si="318"/>
        <v>1</v>
      </c>
      <c r="G839" s="95" t="str">
        <f ca="1">IF(B839=0,"",IF(B839="no pick","No Pick",IF(LEFT(B839,LEN(B$5))=B$5,B$5,C$5)))</f>
        <v/>
      </c>
      <c r="H839" s="95" t="str">
        <f t="shared" ca="1" si="319"/>
        <v>0-0</v>
      </c>
      <c r="J839" s="97">
        <f>D$5</f>
        <v>1</v>
      </c>
      <c r="K839" s="95" t="str">
        <f t="shared" ca="1" si="320"/>
        <v>SR</v>
      </c>
      <c r="L839" s="95" t="str">
        <f t="shared" ca="1" si="321"/>
        <v>0</v>
      </c>
      <c r="M839" s="95" t="str">
        <f t="shared" ca="1" si="322"/>
        <v>0</v>
      </c>
      <c r="N839" s="95" t="str">
        <f t="shared" ca="1" si="323"/>
        <v>0</v>
      </c>
      <c r="O839" s="95" t="str">
        <f t="shared" ca="1" si="324"/>
        <v>0</v>
      </c>
      <c r="P839" s="95" t="str">
        <f t="shared" ca="1" si="325"/>
        <v>0</v>
      </c>
      <c r="Q839" s="95">
        <f ca="1">IF(AND(G839=T$5,LEN(G839)&gt;1),1,0)</f>
        <v>0</v>
      </c>
      <c r="R839" s="97">
        <f>Doubles!G$5</f>
        <v>4</v>
      </c>
      <c r="S839" s="95">
        <f ca="1">IF(AND(H839=H$5,LEN(H839)&gt;1,Q839=1),1,0)</f>
        <v>0</v>
      </c>
      <c r="V839" s="97">
        <f ca="1">VLOOKUP(4,R836:S859,2,0)</f>
        <v>0</v>
      </c>
      <c r="W839" s="95">
        <v>4</v>
      </c>
    </row>
    <row r="840" spans="1:29">
      <c r="A840" s="95">
        <v>5</v>
      </c>
      <c r="B840" s="95">
        <f ca="1">IF(Doubles!Q95="",0,Doubles!Q95)</f>
        <v>0</v>
      </c>
      <c r="C840" s="99" t="str">
        <f ca="1">IF(OR(LEFT(B840,LEN(B$6))=B$6,LEFT(B840,LEN(C$6))=C$6,LEN(B840)&lt;2),"",IF(B840="no pick","","Wrong pick"))</f>
        <v/>
      </c>
      <c r="E840" s="95">
        <f t="shared" ca="1" si="318"/>
        <v>1</v>
      </c>
      <c r="G840" s="95" t="str">
        <f ca="1">IF(B840=0,"",IF(B840="no pick","No Pick",IF(LEFT(B840,LEN(B$6))=B$6,B$6,C$6)))</f>
        <v/>
      </c>
      <c r="H840" s="95" t="str">
        <f t="shared" ca="1" si="319"/>
        <v>0-0</v>
      </c>
      <c r="J840" s="97">
        <f>D$6</f>
        <v>1</v>
      </c>
      <c r="K840" s="95" t="str">
        <f t="shared" ca="1" si="320"/>
        <v>SR</v>
      </c>
      <c r="L840" s="95" t="str">
        <f t="shared" ca="1" si="321"/>
        <v>0</v>
      </c>
      <c r="M840" s="95" t="str">
        <f t="shared" ca="1" si="322"/>
        <v>0</v>
      </c>
      <c r="N840" s="95" t="str">
        <f t="shared" ca="1" si="323"/>
        <v>0</v>
      </c>
      <c r="O840" s="95" t="str">
        <f t="shared" ca="1" si="324"/>
        <v>0</v>
      </c>
      <c r="P840" s="95" t="str">
        <f t="shared" ca="1" si="325"/>
        <v>0</v>
      </c>
      <c r="Q840" s="95">
        <f ca="1">IF(AND(G840=T$6,LEN(G840)&gt;1),1,0)</f>
        <v>0</v>
      </c>
      <c r="R840" s="97">
        <f>Doubles!G$6</f>
        <v>5</v>
      </c>
      <c r="S840" s="95">
        <f ca="1">IF(AND(H840=H$6,LEN(H840)&gt;1,Q840=1),1,0)</f>
        <v>0</v>
      </c>
      <c r="V840" s="97">
        <f ca="1">VLOOKUP(5,R836:S859,2,0)</f>
        <v>0</v>
      </c>
      <c r="W840" s="95">
        <v>5</v>
      </c>
    </row>
    <row r="841" spans="1:29">
      <c r="A841" s="95">
        <v>6</v>
      </c>
      <c r="B841" s="95">
        <f ca="1">IF(Doubles!Q96="",0,Doubles!Q96)</f>
        <v>0</v>
      </c>
      <c r="C841" s="99" t="str">
        <f ca="1">IF(OR(LEFT(B841,LEN(B$7))=B$7,LEFT(B841,LEN(C$7))=C$7,LEN(B841)&lt;2),"",IF(B841="no pick","","Wrong pick"))</f>
        <v/>
      </c>
      <c r="E841" s="95">
        <f t="shared" ca="1" si="318"/>
        <v>1</v>
      </c>
      <c r="G841" s="95" t="str">
        <f ca="1">IF(B841=0,"",IF(B841="no pick","No Pick",IF(LEFT(B841,LEN(B$7))=B$7,B$7,C$7)))</f>
        <v/>
      </c>
      <c r="H841" s="95" t="str">
        <f t="shared" ca="1" si="319"/>
        <v>0-0</v>
      </c>
      <c r="J841" s="97">
        <f>D$7</f>
        <v>1</v>
      </c>
      <c r="K841" s="95" t="str">
        <f t="shared" ca="1" si="320"/>
        <v>SR</v>
      </c>
      <c r="L841" s="95" t="str">
        <f t="shared" ca="1" si="321"/>
        <v>0</v>
      </c>
      <c r="M841" s="95" t="str">
        <f t="shared" ca="1" si="322"/>
        <v>0</v>
      </c>
      <c r="N841" s="95" t="str">
        <f t="shared" ca="1" si="323"/>
        <v>0</v>
      </c>
      <c r="O841" s="95" t="str">
        <f t="shared" ca="1" si="324"/>
        <v>0</v>
      </c>
      <c r="P841" s="95" t="str">
        <f t="shared" ca="1" si="325"/>
        <v>0</v>
      </c>
      <c r="Q841" s="95">
        <f ca="1">IF(AND(G841=T$7,LEN(G841)&gt;1),1,0)</f>
        <v>0</v>
      </c>
      <c r="R841" s="97">
        <f>Doubles!G$7</f>
        <v>6</v>
      </c>
      <c r="S841" s="95">
        <f ca="1">IF(AND(H841=H$7,LEN(H841)&gt;1,Q841=1),1,0)</f>
        <v>0</v>
      </c>
      <c r="V841" s="97">
        <f ca="1">VLOOKUP(6,R836:S859,2,0)</f>
        <v>0</v>
      </c>
      <c r="W841" s="95">
        <v>6</v>
      </c>
    </row>
    <row r="842" spans="1:29">
      <c r="A842" s="95">
        <v>7</v>
      </c>
      <c r="B842" s="95">
        <f ca="1">IF(Doubles!Q97="",0,Doubles!Q97)</f>
        <v>0</v>
      </c>
      <c r="C842" s="99" t="str">
        <f ca="1">IF(OR(LEFT(B842,LEN(B$8))=B$8,LEFT(B842,LEN(C$8))=C$8,LEN(B842)&lt;2),"",IF(B842="no pick","","Wrong pick"))</f>
        <v/>
      </c>
      <c r="E842" s="95">
        <f t="shared" ca="1" si="318"/>
        <v>1</v>
      </c>
      <c r="G842" s="95" t="str">
        <f ca="1">IF(B842=0,"",IF(B842="no pick","No Pick",IF(LEFT(B842,LEN(B$8))=B$8,B$8,C$8)))</f>
        <v/>
      </c>
      <c r="H842" s="95" t="str">
        <f t="shared" ca="1" si="319"/>
        <v>0-0</v>
      </c>
      <c r="J842" s="97">
        <f>D$8</f>
        <v>1</v>
      </c>
      <c r="K842" s="95" t="str">
        <f t="shared" ca="1" si="320"/>
        <v>SR</v>
      </c>
      <c r="L842" s="95" t="str">
        <f t="shared" ca="1" si="321"/>
        <v>0</v>
      </c>
      <c r="M842" s="95" t="str">
        <f t="shared" ca="1" si="322"/>
        <v>0</v>
      </c>
      <c r="N842" s="95" t="str">
        <f t="shared" ca="1" si="323"/>
        <v>0</v>
      </c>
      <c r="O842" s="95" t="str">
        <f t="shared" ca="1" si="324"/>
        <v>0</v>
      </c>
      <c r="P842" s="95" t="str">
        <f t="shared" ca="1" si="325"/>
        <v>0</v>
      </c>
      <c r="Q842" s="95">
        <f ca="1">IF(AND(G842=T$8,LEN(G842)&gt;1),1,0)</f>
        <v>0</v>
      </c>
      <c r="R842" s="97">
        <f>Doubles!G$8</f>
        <v>7</v>
      </c>
      <c r="S842" s="95">
        <f ca="1">IF(AND(H842=H$8,LEN(H842)&gt;1,Q842=1),1,0)</f>
        <v>0</v>
      </c>
      <c r="V842" s="97">
        <f ca="1">VLOOKUP(7,R836:S859,2,0)</f>
        <v>0</v>
      </c>
      <c r="W842" s="95">
        <v>7</v>
      </c>
    </row>
    <row r="843" spans="1:29">
      <c r="A843" s="95">
        <v>8</v>
      </c>
      <c r="B843" s="95">
        <f ca="1">IF(Doubles!Q98="",0,Doubles!Q98)</f>
        <v>0</v>
      </c>
      <c r="C843" s="99" t="str">
        <f ca="1">IF(OR(LEFT(B843,LEN(B$9))=B$9,LEFT(B843,LEN(C$9))=C$9,LEN(B843)&lt;2),"",IF(B843="no pick","","Wrong pick"))</f>
        <v/>
      </c>
      <c r="E843" s="95">
        <f t="shared" ca="1" si="318"/>
        <v>1</v>
      </c>
      <c r="G843" s="95" t="str">
        <f ca="1">IF(B843=0,"",IF(B843="no pick","No Pick",IF(LEFT(B843,LEN(B$9))=B$9,B$9,C$9)))</f>
        <v/>
      </c>
      <c r="H843" s="95" t="str">
        <f t="shared" ca="1" si="319"/>
        <v>0-0</v>
      </c>
      <c r="J843" s="97">
        <f>D$9</f>
        <v>1</v>
      </c>
      <c r="K843" s="95" t="str">
        <f t="shared" ca="1" si="320"/>
        <v>SR</v>
      </c>
      <c r="L843" s="95" t="str">
        <f t="shared" ca="1" si="321"/>
        <v>0</v>
      </c>
      <c r="M843" s="95" t="str">
        <f t="shared" ca="1" si="322"/>
        <v>0</v>
      </c>
      <c r="N843" s="95" t="str">
        <f t="shared" ca="1" si="323"/>
        <v>0</v>
      </c>
      <c r="O843" s="95" t="str">
        <f t="shared" ca="1" si="324"/>
        <v>0</v>
      </c>
      <c r="P843" s="95" t="str">
        <f t="shared" ca="1" si="325"/>
        <v>0</v>
      </c>
      <c r="Q843" s="95">
        <f ca="1">IF(AND(G843=T$9,LEN(G843)&gt;1),1,0)</f>
        <v>0</v>
      </c>
      <c r="R843" s="97">
        <f>Doubles!G$9</f>
        <v>8</v>
      </c>
      <c r="S843" s="95">
        <f ca="1">IF(AND(H843=H$9,LEN(H843)&gt;1,Q843=1),1,0)</f>
        <v>0</v>
      </c>
      <c r="V843" s="97">
        <f ca="1">VLOOKUP(8,R836:S859,2,0)</f>
        <v>0</v>
      </c>
      <c r="W843" s="95">
        <v>8</v>
      </c>
    </row>
    <row r="844" spans="1:29">
      <c r="A844" s="95">
        <v>9</v>
      </c>
      <c r="B844" s="95">
        <f ca="1">IF(Doubles!Q99="",0,Doubles!Q99)</f>
        <v>0</v>
      </c>
      <c r="C844" s="99" t="str">
        <f ca="1">IF(OR(LEFT(B844,LEN(B$10))=B$10,LEFT(B844,LEN(C$10))=C$10,LEN(B844)&lt;2),"",IF(B844="no pick","","Wrong pick"))</f>
        <v/>
      </c>
      <c r="E844" s="95">
        <f t="shared" ca="1" si="318"/>
        <v>1</v>
      </c>
      <c r="G844" s="95" t="str">
        <f ca="1">IF(B844=0,"",IF(B844="no pick","No Pick",IF(LEFT(B844,LEN(B$10))=B$10,B$10,C$10)))</f>
        <v/>
      </c>
      <c r="H844" s="95" t="str">
        <f t="shared" ca="1" si="319"/>
        <v>0-0</v>
      </c>
      <c r="J844" s="97">
        <f>D$10</f>
        <v>1</v>
      </c>
      <c r="K844" s="95" t="str">
        <f t="shared" ca="1" si="320"/>
        <v>SR</v>
      </c>
      <c r="L844" s="95" t="str">
        <f t="shared" ca="1" si="321"/>
        <v>0</v>
      </c>
      <c r="M844" s="95" t="str">
        <f t="shared" ca="1" si="322"/>
        <v>0</v>
      </c>
      <c r="N844" s="95" t="str">
        <f t="shared" ca="1" si="323"/>
        <v>0</v>
      </c>
      <c r="O844" s="95" t="str">
        <f t="shared" ca="1" si="324"/>
        <v>0</v>
      </c>
      <c r="P844" s="95" t="str">
        <f t="shared" ca="1" si="325"/>
        <v>0</v>
      </c>
      <c r="Q844" s="95">
        <f ca="1">IF(AND(G844=T$10,LEN(G844)&gt;1),1,0)</f>
        <v>0</v>
      </c>
      <c r="R844" s="97">
        <f>Doubles!G$10</f>
        <v>9</v>
      </c>
      <c r="S844" s="95">
        <f ca="1">IF(AND(H844=H$10,LEN(H844)&gt;1,Q844=1),1,0)</f>
        <v>0</v>
      </c>
      <c r="V844" s="97">
        <f ca="1">VLOOKUP(9,R836:S859,2,0)</f>
        <v>0</v>
      </c>
      <c r="W844" s="95">
        <v>9</v>
      </c>
    </row>
    <row r="845" spans="1:29">
      <c r="A845" s="95">
        <v>10</v>
      </c>
      <c r="B845" s="95">
        <f ca="1">IF(Doubles!Q100="",0,Doubles!Q100)</f>
        <v>0</v>
      </c>
      <c r="C845" s="99" t="str">
        <f ca="1">IF(OR(LEFT(B845,LEN(B$11))=B$11,LEFT(B845,LEN(C$11))=C$11,LEN(B845)&lt;2),"",IF(B845="no pick","","Wrong pick"))</f>
        <v/>
      </c>
      <c r="E845" s="95">
        <f t="shared" ca="1" si="318"/>
        <v>1</v>
      </c>
      <c r="G845" s="95" t="str">
        <f ca="1">IF(B845=0,"",IF(B845="no pick","No Pick",IF(LEFT(B845,LEN(B$11))=B$11,B$11,C$11)))</f>
        <v/>
      </c>
      <c r="H845" s="95" t="str">
        <f t="shared" ca="1" si="319"/>
        <v>0-0</v>
      </c>
      <c r="J845" s="97">
        <f>D$11</f>
        <v>1</v>
      </c>
      <c r="K845" s="95" t="str">
        <f t="shared" ca="1" si="320"/>
        <v>SR</v>
      </c>
      <c r="L845" s="95" t="str">
        <f t="shared" ca="1" si="321"/>
        <v>0</v>
      </c>
      <c r="M845" s="95" t="str">
        <f t="shared" ca="1" si="322"/>
        <v>0</v>
      </c>
      <c r="N845" s="95" t="str">
        <f t="shared" ca="1" si="323"/>
        <v>0</v>
      </c>
      <c r="O845" s="95" t="str">
        <f t="shared" ca="1" si="324"/>
        <v>0</v>
      </c>
      <c r="P845" s="95" t="str">
        <f t="shared" ca="1" si="325"/>
        <v>0</v>
      </c>
      <c r="Q845" s="95">
        <f ca="1">IF(AND(G845=T$11,LEN(G845)&gt;1),1,0)</f>
        <v>0</v>
      </c>
      <c r="R845" s="97">
        <f>Doubles!G$11</f>
        <v>10</v>
      </c>
      <c r="S845" s="95">
        <f ca="1">IF(AND(H845=H$11,LEN(H845)&gt;1,Q845=1),1,0)</f>
        <v>0</v>
      </c>
      <c r="V845" s="97">
        <f ca="1">VLOOKUP(10,R836:S859,2,0)</f>
        <v>0</v>
      </c>
      <c r="W845" s="95">
        <v>10</v>
      </c>
    </row>
    <row r="846" spans="1:29">
      <c r="A846" s="95">
        <v>11</v>
      </c>
      <c r="B846" s="95">
        <f ca="1">IF(Doubles!Q101="",0,Doubles!Q101)</f>
        <v>0</v>
      </c>
      <c r="C846" s="99" t="str">
        <f ca="1">IF(OR(LEFT(B846,LEN(B$12))=B$12,LEFT(B846,LEN(C$12))=C$12,LEN(B846)&lt;2),"",IF(B846="no pick","","Wrong pick"))</f>
        <v/>
      </c>
      <c r="E846" s="95">
        <f t="shared" ca="1" si="318"/>
        <v>1</v>
      </c>
      <c r="G846" s="95" t="str">
        <f ca="1">IF(B846=0,"",IF(B846="no pick","No Pick",IF(LEFT(B846,LEN(B$12))=B$12,B$12,C$12)))</f>
        <v/>
      </c>
      <c r="H846" s="95" t="str">
        <f t="shared" ca="1" si="319"/>
        <v>0-0</v>
      </c>
      <c r="J846" s="97">
        <f>D$12</f>
        <v>1</v>
      </c>
      <c r="K846" s="95" t="str">
        <f t="shared" ca="1" si="320"/>
        <v>SR</v>
      </c>
      <c r="L846" s="95" t="str">
        <f t="shared" ca="1" si="321"/>
        <v>0</v>
      </c>
      <c r="M846" s="95" t="str">
        <f t="shared" ca="1" si="322"/>
        <v>0</v>
      </c>
      <c r="N846" s="95" t="str">
        <f t="shared" ca="1" si="323"/>
        <v>0</v>
      </c>
      <c r="O846" s="95" t="str">
        <f t="shared" ca="1" si="324"/>
        <v>0</v>
      </c>
      <c r="P846" s="95" t="str">
        <f t="shared" ca="1" si="325"/>
        <v>0</v>
      </c>
      <c r="Q846" s="95">
        <f ca="1">IF(AND(G846=T$12,LEN(G846)&gt;1),1,0)</f>
        <v>0</v>
      </c>
      <c r="R846" s="97">
        <f>Doubles!G$12</f>
        <v>11</v>
      </c>
      <c r="S846" s="95">
        <f ca="1">IF(AND(H846=H$12,LEN(H846)&gt;1,Q846=1),1,0)</f>
        <v>0</v>
      </c>
      <c r="V846" s="97">
        <f ca="1">VLOOKUP(11,R836:S859,2,0)</f>
        <v>0</v>
      </c>
      <c r="W846" s="95">
        <v>11</v>
      </c>
    </row>
    <row r="847" spans="1:29">
      <c r="A847" s="95">
        <v>12</v>
      </c>
      <c r="B847" s="95">
        <f ca="1">IF(Doubles!Q102="",0,Doubles!Q102)</f>
        <v>0</v>
      </c>
      <c r="C847" s="99" t="str">
        <f ca="1">IF(OR(LEFT(B847,LEN(B$13))=B$13,LEFT(B847,LEN(C$13))=C$13,LEN(B847)&lt;2),"",IF(B847="no pick","","Wrong pick"))</f>
        <v/>
      </c>
      <c r="E847" s="95">
        <f t="shared" ca="1" si="318"/>
        <v>1</v>
      </c>
      <c r="G847" s="95" t="str">
        <f ca="1">IF(B847=0,"",IF(B847="no pick","No Pick",IF(LEFT(B847,LEN(B$13))=B$13,B$13,C$13)))</f>
        <v/>
      </c>
      <c r="H847" s="95" t="str">
        <f t="shared" ca="1" si="319"/>
        <v>0-0</v>
      </c>
      <c r="J847" s="97">
        <f>D$13</f>
        <v>1</v>
      </c>
      <c r="K847" s="95" t="str">
        <f t="shared" ca="1" si="320"/>
        <v>SR</v>
      </c>
      <c r="L847" s="95" t="str">
        <f t="shared" ca="1" si="321"/>
        <v>0</v>
      </c>
      <c r="M847" s="95" t="str">
        <f t="shared" ca="1" si="322"/>
        <v>0</v>
      </c>
      <c r="N847" s="95" t="str">
        <f t="shared" ca="1" si="323"/>
        <v>0</v>
      </c>
      <c r="O847" s="95" t="str">
        <f t="shared" ca="1" si="324"/>
        <v>0</v>
      </c>
      <c r="P847" s="95" t="str">
        <f t="shared" ca="1" si="325"/>
        <v>0</v>
      </c>
      <c r="Q847" s="95">
        <f ca="1">IF(AND(G847=T$13,LEN(G847)&gt;1),1,0)</f>
        <v>0</v>
      </c>
      <c r="R847" s="97">
        <f>Doubles!G$13</f>
        <v>12</v>
      </c>
      <c r="S847" s="95">
        <f ca="1">IF(AND(H847=H$13,LEN(H847)&gt;1,Q847=1),1,0)</f>
        <v>0</v>
      </c>
      <c r="V847" s="97">
        <f ca="1">VLOOKUP(12,R836:S859,2,0)</f>
        <v>0</v>
      </c>
      <c r="W847" s="95">
        <v>12</v>
      </c>
    </row>
    <row r="848" spans="1:29">
      <c r="A848" s="95">
        <v>13</v>
      </c>
      <c r="B848" s="95">
        <f ca="1">IF(Doubles!Q103="",0,Doubles!Q103)</f>
        <v>0</v>
      </c>
      <c r="C848" s="99" t="str">
        <f ca="1">IF(OR(LEFT(B848,LEN(B$14))=B$14,LEFT(B848,LEN(C$14))=C$14,LEN(B848)&lt;2),"",IF(B848="no pick","","Wrong pick"))</f>
        <v/>
      </c>
      <c r="E848" s="95">
        <f t="shared" ca="1" si="318"/>
        <v>1</v>
      </c>
      <c r="G848" s="95" t="str">
        <f ca="1">IF(B848=0,"",IF(B848="no pick","No Pick",IF(LEFT(B848,LEN(B$14))=B$14,B$14,C$14)))</f>
        <v/>
      </c>
      <c r="H848" s="95" t="str">
        <f t="shared" ca="1" si="319"/>
        <v>0-0</v>
      </c>
      <c r="J848" s="97">
        <f>D$14</f>
        <v>1</v>
      </c>
      <c r="K848" s="95" t="str">
        <f t="shared" ca="1" si="320"/>
        <v>SR</v>
      </c>
      <c r="L848" s="95" t="str">
        <f t="shared" ca="1" si="321"/>
        <v>0</v>
      </c>
      <c r="M848" s="95" t="str">
        <f t="shared" ca="1" si="322"/>
        <v>0</v>
      </c>
      <c r="N848" s="95" t="str">
        <f t="shared" ca="1" si="323"/>
        <v>0</v>
      </c>
      <c r="O848" s="95" t="str">
        <f t="shared" ca="1" si="324"/>
        <v>0</v>
      </c>
      <c r="P848" s="95" t="str">
        <f t="shared" ca="1" si="325"/>
        <v>0</v>
      </c>
      <c r="Q848" s="95">
        <f ca="1">IF(AND(G848=T$14,LEN(G848)&gt;1),1,0)</f>
        <v>0</v>
      </c>
      <c r="R848" s="97">
        <f>Doubles!G$14</f>
        <v>13</v>
      </c>
      <c r="S848" s="95">
        <f ca="1">IF(AND(H848=H$14,LEN(H848)&gt;1,Q848=1),1,0)</f>
        <v>0</v>
      </c>
      <c r="V848" s="97">
        <f ca="1">VLOOKUP(13,R836:S859,2,0)</f>
        <v>0</v>
      </c>
      <c r="W848" s="95">
        <v>13</v>
      </c>
    </row>
    <row r="849" spans="1:23">
      <c r="A849" s="95">
        <v>14</v>
      </c>
      <c r="B849" s="95">
        <f ca="1">IF(Doubles!Q104="",0,Doubles!Q104)</f>
        <v>0</v>
      </c>
      <c r="C849" s="99" t="str">
        <f ca="1">IF(OR(LEFT(B849,LEN(B$15))=B$15,LEFT(B849,LEN(C$15))=C$15,LEN(B849)&lt;2),"",IF(B849="no pick","","Wrong pick"))</f>
        <v/>
      </c>
      <c r="E849" s="95">
        <f t="shared" ca="1" si="318"/>
        <v>1</v>
      </c>
      <c r="G849" s="95" t="str">
        <f ca="1">IF(B849=0,"",IF(B849="no pick","No Pick",IF(LEFT(B849,LEN(B$15))=B$15,B$15,C$15)))</f>
        <v/>
      </c>
      <c r="H849" s="95" t="str">
        <f t="shared" ca="1" si="319"/>
        <v>0-0</v>
      </c>
      <c r="J849" s="97">
        <f>D$15</f>
        <v>1</v>
      </c>
      <c r="K849" s="95" t="str">
        <f t="shared" ca="1" si="320"/>
        <v>SR</v>
      </c>
      <c r="L849" s="95" t="str">
        <f t="shared" ca="1" si="321"/>
        <v>0</v>
      </c>
      <c r="M849" s="95" t="str">
        <f t="shared" ca="1" si="322"/>
        <v>0</v>
      </c>
      <c r="N849" s="95" t="str">
        <f t="shared" ca="1" si="323"/>
        <v>0</v>
      </c>
      <c r="O849" s="95" t="str">
        <f t="shared" ca="1" si="324"/>
        <v>0</v>
      </c>
      <c r="P849" s="95" t="str">
        <f t="shared" ca="1" si="325"/>
        <v>0</v>
      </c>
      <c r="Q849" s="95">
        <f ca="1">IF(AND(G849=T$15,LEN(G849)&gt;1),1,0)</f>
        <v>0</v>
      </c>
      <c r="R849" s="97">
        <f>Doubles!G$15</f>
        <v>14</v>
      </c>
      <c r="S849" s="95">
        <f ca="1">IF(AND(H849=H$15,LEN(H849)&gt;1,Q849=1),1,0)</f>
        <v>0</v>
      </c>
      <c r="V849" s="97">
        <f ca="1">VLOOKUP(14,R836:S859,2,0)</f>
        <v>0</v>
      </c>
      <c r="W849" s="95">
        <v>14</v>
      </c>
    </row>
    <row r="850" spans="1:23">
      <c r="A850" s="95">
        <v>15</v>
      </c>
      <c r="B850" s="95">
        <f ca="1">IF(Doubles!Q105="",0,Doubles!Q105)</f>
        <v>0</v>
      </c>
      <c r="C850" s="99" t="str">
        <f ca="1">IF(OR(LEFT(B850,LEN(B$16))=B$16,LEFT(B850,LEN(C$16))=C$16,LEN(B850)&lt;2),"",IF(B850="no pick","","Wrong pick"))</f>
        <v/>
      </c>
      <c r="E850" s="95">
        <f t="shared" ca="1" si="318"/>
        <v>1</v>
      </c>
      <c r="G850" s="95" t="str">
        <f ca="1">IF(B850=0,"",IF(B850="no pick","No Pick",IF(LEFT(B850,LEN(B$16))=B$16,B$16,C$16)))</f>
        <v/>
      </c>
      <c r="H850" s="95" t="str">
        <f t="shared" ca="1" si="319"/>
        <v>0-0</v>
      </c>
      <c r="J850" s="97">
        <f>D$16</f>
        <v>1</v>
      </c>
      <c r="K850" s="95" t="str">
        <f t="shared" ca="1" si="320"/>
        <v>SR</v>
      </c>
      <c r="L850" s="95" t="str">
        <f t="shared" ca="1" si="321"/>
        <v>0</v>
      </c>
      <c r="M850" s="95" t="str">
        <f t="shared" ca="1" si="322"/>
        <v>0</v>
      </c>
      <c r="N850" s="95" t="str">
        <f t="shared" ca="1" si="323"/>
        <v>0</v>
      </c>
      <c r="O850" s="95" t="str">
        <f t="shared" ca="1" si="324"/>
        <v>0</v>
      </c>
      <c r="P850" s="95" t="str">
        <f t="shared" ca="1" si="325"/>
        <v>0</v>
      </c>
      <c r="Q850" s="95">
        <f ca="1">IF(AND(G850=T$16,LEN(G850)&gt;1),1,0)</f>
        <v>0</v>
      </c>
      <c r="R850" s="97">
        <f>Doubles!G$16</f>
        <v>15</v>
      </c>
      <c r="S850" s="95">
        <f ca="1">IF(AND(H850=H$16,LEN(H850)&gt;1,Q850=1),1,0)</f>
        <v>0</v>
      </c>
      <c r="V850" s="97">
        <f ca="1">VLOOKUP(15,R836:S859,2,0)</f>
        <v>0</v>
      </c>
      <c r="W850" s="95">
        <v>15</v>
      </c>
    </row>
    <row r="851" spans="1:23">
      <c r="A851" s="95">
        <v>16</v>
      </c>
      <c r="B851" s="95">
        <f ca="1">IF(Doubles!Q106="",0,Doubles!Q106)</f>
        <v>0</v>
      </c>
      <c r="C851" s="99" t="str">
        <f ca="1">IF(OR(LEFT(B851,LEN(B$17))=B$17,LEFT(B851,LEN(C$17))=C$17,LEN(B851)&lt;2),"",IF(B851="no pick","","Wrong pick"))</f>
        <v/>
      </c>
      <c r="E851" s="95">
        <f t="shared" ca="1" si="318"/>
        <v>1</v>
      </c>
      <c r="G851" s="95" t="str">
        <f ca="1">IF(B851=0,"",IF(B851="no pick","No Pick",IF(LEFT(B851,LEN(B$17))=B$17,B$17,C$17)))</f>
        <v/>
      </c>
      <c r="H851" s="95" t="str">
        <f t="shared" ca="1" si="319"/>
        <v>0-0</v>
      </c>
      <c r="J851" s="97">
        <f>D$17</f>
        <v>1</v>
      </c>
      <c r="K851" s="95" t="str">
        <f t="shared" ca="1" si="320"/>
        <v>SR</v>
      </c>
      <c r="L851" s="95" t="str">
        <f t="shared" ca="1" si="321"/>
        <v>0</v>
      </c>
      <c r="M851" s="95" t="str">
        <f t="shared" ca="1" si="322"/>
        <v>0</v>
      </c>
      <c r="N851" s="95" t="str">
        <f t="shared" ca="1" si="323"/>
        <v>0</v>
      </c>
      <c r="O851" s="95" t="str">
        <f t="shared" ca="1" si="324"/>
        <v>0</v>
      </c>
      <c r="P851" s="95" t="str">
        <f t="shared" ca="1" si="325"/>
        <v>0</v>
      </c>
      <c r="Q851" s="95">
        <f ca="1">IF(AND(G851=T$17,LEN(G851)&gt;1),1,0)</f>
        <v>0</v>
      </c>
      <c r="R851" s="97">
        <f>Doubles!G$17</f>
        <v>16</v>
      </c>
      <c r="S851" s="95">
        <f ca="1">IF(AND(H851=H$17,LEN(H851)&gt;1,Q851=1),1,0)</f>
        <v>0</v>
      </c>
      <c r="V851" s="97">
        <f ca="1">VLOOKUP(16,R836:S859,2,0)</f>
        <v>0</v>
      </c>
      <c r="W851" s="95">
        <v>16</v>
      </c>
    </row>
    <row r="852" spans="1:23">
      <c r="A852" s="95">
        <v>17</v>
      </c>
      <c r="B852" s="95">
        <f>IF(Doubles!Q107="",0,Doubles!Q107)</f>
        <v>0</v>
      </c>
      <c r="C852" s="99" t="str">
        <f>IF(OR(LEFT(B852,LEN(B$18))=B$18,LEFT(B852,LEN(C$18))=C$18,LEN(B852)&lt;2),"",IF(B852="no pick","","Wrong pick"))</f>
        <v/>
      </c>
      <c r="E852" s="95">
        <f t="shared" si="318"/>
        <v>0</v>
      </c>
      <c r="G852" s="95" t="str">
        <f>IF(B852=0,"",IF(B852="no pick","No Pick",IF(LEFT(B852,LEN(B$18))=B$18,B$18,C$18)))</f>
        <v/>
      </c>
      <c r="H852" s="95" t="str">
        <f t="shared" si="319"/>
        <v>0-0</v>
      </c>
      <c r="J852" s="95">
        <f>D$18</f>
        <v>0</v>
      </c>
      <c r="K852" s="95" t="str">
        <f t="shared" si="320"/>
        <v>SR</v>
      </c>
      <c r="L852" s="95" t="str">
        <f t="shared" si="321"/>
        <v>0</v>
      </c>
      <c r="M852" s="95" t="str">
        <f t="shared" si="322"/>
        <v>0</v>
      </c>
      <c r="N852" s="95" t="str">
        <f t="shared" si="323"/>
        <v>0</v>
      </c>
      <c r="O852" s="95" t="str">
        <f t="shared" si="324"/>
        <v>0</v>
      </c>
      <c r="P852" s="95" t="str">
        <f t="shared" si="325"/>
        <v>0</v>
      </c>
      <c r="Q852" s="95">
        <f>IF(AND(G852=T$18,LEN(G852)&gt;1),1,0)</f>
        <v>0</v>
      </c>
      <c r="R852" s="97">
        <f>Doubles!G$18</f>
        <v>17</v>
      </c>
      <c r="S852" s="95">
        <f>IF(AND(H852=H$18,LEN(H852)&gt;1,Q852=1),1,0)</f>
        <v>0</v>
      </c>
      <c r="V852" s="97">
        <f>VLOOKUP(17,R836:S859,2,0)</f>
        <v>0</v>
      </c>
      <c r="W852" s="95">
        <v>17</v>
      </c>
    </row>
    <row r="853" spans="1:23">
      <c r="A853" s="95">
        <v>18</v>
      </c>
      <c r="B853" s="95">
        <f>IF(Doubles!Q108="",0,Doubles!Q108)</f>
        <v>0</v>
      </c>
      <c r="C853" s="99" t="str">
        <f>IF(OR(LEFT(B853,LEN(B$19))=B$19,LEFT(B853,LEN(C$19))=C$19,LEN(B853)&lt;2),"",IF(B853="no pick","","Wrong pick"))</f>
        <v/>
      </c>
      <c r="E853" s="95">
        <f t="shared" si="318"/>
        <v>0</v>
      </c>
      <c r="G853" s="95" t="str">
        <f>IF(B853=0,"",IF(B853="no pick","No Pick",IF(LEFT(B853,LEN(B$19))=B$19,B$19,C$19)))</f>
        <v/>
      </c>
      <c r="H853" s="95" t="str">
        <f t="shared" si="319"/>
        <v>0-0</v>
      </c>
      <c r="J853" s="95">
        <f>D$19</f>
        <v>0</v>
      </c>
      <c r="K853" s="95" t="str">
        <f t="shared" si="320"/>
        <v>SR</v>
      </c>
      <c r="L853" s="95" t="str">
        <f t="shared" si="321"/>
        <v>0</v>
      </c>
      <c r="M853" s="95" t="str">
        <f t="shared" si="322"/>
        <v>0</v>
      </c>
      <c r="N853" s="95" t="str">
        <f t="shared" si="323"/>
        <v>0</v>
      </c>
      <c r="O853" s="95" t="str">
        <f t="shared" si="324"/>
        <v>0</v>
      </c>
      <c r="P853" s="95" t="str">
        <f t="shared" si="325"/>
        <v>0</v>
      </c>
      <c r="Q853" s="95">
        <f>IF(AND(G853=T$19,LEN(G853)&gt;1),1,0)</f>
        <v>0</v>
      </c>
      <c r="R853" s="97">
        <f>Doubles!G$19</f>
        <v>18</v>
      </c>
      <c r="S853" s="95">
        <f>IF(AND(H853=H$19,LEN(H853)&gt;1,Q853=1),1,0)</f>
        <v>0</v>
      </c>
      <c r="V853" s="97">
        <f>VLOOKUP(18,R836:S859,2,0)</f>
        <v>0</v>
      </c>
      <c r="W853" s="95">
        <v>18</v>
      </c>
    </row>
    <row r="854" spans="1:23">
      <c r="A854" s="95">
        <v>19</v>
      </c>
      <c r="B854" s="95">
        <f>IF(Doubles!Q109="",0,Doubles!Q109)</f>
        <v>0</v>
      </c>
      <c r="C854" s="99" t="str">
        <f>IF(OR(LEFT(B854,LEN(B$20))=B$20,LEFT(B854,LEN(C$20))=C$20,LEN(B854)&lt;2),"",IF(B854="no pick","","Wrong pick"))</f>
        <v/>
      </c>
      <c r="E854" s="95">
        <f t="shared" si="318"/>
        <v>0</v>
      </c>
      <c r="G854" s="95" t="str">
        <f>IF(B854=0,"",IF(B854="no pick","No Pick",IF(LEFT(B854,LEN(B$20))=B$20,B$20,C$20)))</f>
        <v/>
      </c>
      <c r="H854" s="95" t="str">
        <f t="shared" si="319"/>
        <v>0-0</v>
      </c>
      <c r="J854" s="95">
        <f>D$20</f>
        <v>0</v>
      </c>
      <c r="K854" s="95" t="str">
        <f t="shared" si="320"/>
        <v>SR</v>
      </c>
      <c r="L854" s="95" t="str">
        <f t="shared" si="321"/>
        <v>0</v>
      </c>
      <c r="M854" s="95" t="str">
        <f t="shared" si="322"/>
        <v>0</v>
      </c>
      <c r="N854" s="95" t="str">
        <f t="shared" si="323"/>
        <v>0</v>
      </c>
      <c r="O854" s="95" t="str">
        <f t="shared" si="324"/>
        <v>0</v>
      </c>
      <c r="P854" s="95" t="str">
        <f t="shared" si="325"/>
        <v>0</v>
      </c>
      <c r="Q854" s="95">
        <f>IF(AND(G854=T$20,LEN(G854)&gt;1),1,0)</f>
        <v>0</v>
      </c>
      <c r="R854" s="97">
        <f>Doubles!G$20</f>
        <v>19</v>
      </c>
      <c r="S854" s="95">
        <f>IF(AND(H854=H$20,LEN(H854)&gt;1,Q854=1),1,0)</f>
        <v>0</v>
      </c>
      <c r="V854" s="97">
        <f>VLOOKUP(19,R836:S859,2,0)</f>
        <v>0</v>
      </c>
      <c r="W854" s="95">
        <v>19</v>
      </c>
    </row>
    <row r="855" spans="1:23">
      <c r="A855" s="95">
        <v>20</v>
      </c>
      <c r="B855" s="95">
        <f>IF(Doubles!Q110="",0,Doubles!Q110)</f>
        <v>0</v>
      </c>
      <c r="C855" s="99" t="str">
        <f>IF(OR(LEFT(B855,LEN(B$21))=B$21,LEFT(B855,LEN(C$21))=C$21,LEN(B855)&lt;2),"",IF(B855="no pick","","Wrong pick"))</f>
        <v/>
      </c>
      <c r="E855" s="95">
        <f t="shared" si="318"/>
        <v>0</v>
      </c>
      <c r="G855" s="95" t="str">
        <f>IF(B855=0,"",IF(B855="no pick","No Pick",IF(LEFT(B855,LEN(B$21))=B$21,B$21,C$21)))</f>
        <v/>
      </c>
      <c r="H855" s="95" t="str">
        <f t="shared" si="319"/>
        <v>0-0</v>
      </c>
      <c r="J855" s="95">
        <f>D$21</f>
        <v>0</v>
      </c>
      <c r="K855" s="95" t="str">
        <f t="shared" si="320"/>
        <v>SR</v>
      </c>
      <c r="L855" s="95" t="str">
        <f t="shared" si="321"/>
        <v>0</v>
      </c>
      <c r="M855" s="95" t="str">
        <f t="shared" si="322"/>
        <v>0</v>
      </c>
      <c r="N855" s="95" t="str">
        <f t="shared" si="323"/>
        <v>0</v>
      </c>
      <c r="O855" s="95" t="str">
        <f t="shared" si="324"/>
        <v>0</v>
      </c>
      <c r="P855" s="95" t="str">
        <f t="shared" si="325"/>
        <v>0</v>
      </c>
      <c r="Q855" s="95">
        <f>IF(AND(G855=T$21,LEN(G855)&gt;1),1,0)</f>
        <v>0</v>
      </c>
      <c r="R855" s="97">
        <f>Doubles!G$21</f>
        <v>20</v>
      </c>
      <c r="S855" s="95">
        <f>IF(AND(H855=H$21,LEN(H855)&gt;1,Q855=1),1,0)</f>
        <v>0</v>
      </c>
      <c r="V855" s="97">
        <f>VLOOKUP(20,R836:S859,2,0)</f>
        <v>0</v>
      </c>
      <c r="W855" s="95">
        <v>20</v>
      </c>
    </row>
    <row r="856" spans="1:23">
      <c r="A856" s="95">
        <v>21</v>
      </c>
      <c r="B856" s="95">
        <f>IF(Doubles!Q111="",0,Doubles!Q111)</f>
        <v>0</v>
      </c>
      <c r="C856" s="99" t="str">
        <f>IF(OR(LEFT(B856,LEN(B$22))=B$22,LEFT(B856,LEN(C$22))=C$22,LEN(B856)&lt;2),"",IF(B856="no pick","","Wrong pick"))</f>
        <v/>
      </c>
      <c r="E856" s="95">
        <f t="shared" si="318"/>
        <v>0</v>
      </c>
      <c r="G856" s="95" t="str">
        <f>IF(B856=0,"",IF(B856="no pick","No Pick",IF(LEFT(B856,LEN(B$22))=B$22,B$22,C$22)))</f>
        <v/>
      </c>
      <c r="H856" s="95" t="str">
        <f t="shared" si="319"/>
        <v>0-0</v>
      </c>
      <c r="J856" s="95">
        <f>D$22</f>
        <v>0</v>
      </c>
      <c r="K856" s="95" t="str">
        <f t="shared" si="320"/>
        <v>SR</v>
      </c>
      <c r="L856" s="95" t="str">
        <f t="shared" si="321"/>
        <v>0</v>
      </c>
      <c r="M856" s="95" t="str">
        <f t="shared" si="322"/>
        <v>0</v>
      </c>
      <c r="N856" s="95" t="str">
        <f t="shared" si="323"/>
        <v>0</v>
      </c>
      <c r="O856" s="95" t="str">
        <f t="shared" si="324"/>
        <v>0</v>
      </c>
      <c r="P856" s="95" t="str">
        <f t="shared" si="325"/>
        <v>0</v>
      </c>
      <c r="Q856" s="95">
        <f>IF(AND(G856=T$22,LEN(G856)&gt;1),1,0)</f>
        <v>0</v>
      </c>
      <c r="R856" s="97">
        <f>Doubles!G$22</f>
        <v>21</v>
      </c>
      <c r="S856" s="95">
        <f>IF(AND(H856=H$22,LEN(H856)&gt;1,Q856=1),1,0)</f>
        <v>0</v>
      </c>
      <c r="V856" s="97">
        <f>VLOOKUP(21,R836:S859,2,0)</f>
        <v>0</v>
      </c>
      <c r="W856" s="95">
        <v>21</v>
      </c>
    </row>
    <row r="857" spans="1:23">
      <c r="A857" s="95">
        <v>22</v>
      </c>
      <c r="B857" s="95">
        <f>IF(Doubles!Q112="",0,Doubles!Q112)</f>
        <v>0</v>
      </c>
      <c r="C857" s="99" t="str">
        <f>IF(OR(LEFT(B857,LEN(B$23))=B$23,LEFT(B857,LEN(C$23))=C$23,LEN(B857)&lt;2),"",IF(B857="no pick","","Wrong pick"))</f>
        <v/>
      </c>
      <c r="E857" s="95">
        <f t="shared" si="318"/>
        <v>0</v>
      </c>
      <c r="G857" s="95" t="str">
        <f>IF(B857=0,"",IF(B857="no pick","No Pick",IF(LEFT(B857,LEN(B$23))=B$23,B$23,C$23)))</f>
        <v/>
      </c>
      <c r="H857" s="95" t="str">
        <f t="shared" si="319"/>
        <v>0-0</v>
      </c>
      <c r="J857" s="95">
        <f>D$23</f>
        <v>0</v>
      </c>
      <c r="K857" s="95" t="str">
        <f t="shared" si="320"/>
        <v>SR</v>
      </c>
      <c r="L857" s="95" t="str">
        <f t="shared" si="321"/>
        <v>0</v>
      </c>
      <c r="M857" s="95" t="str">
        <f t="shared" si="322"/>
        <v>0</v>
      </c>
      <c r="N857" s="95" t="str">
        <f t="shared" si="323"/>
        <v>0</v>
      </c>
      <c r="O857" s="95" t="str">
        <f t="shared" si="324"/>
        <v>0</v>
      </c>
      <c r="P857" s="95" t="str">
        <f t="shared" si="325"/>
        <v>0</v>
      </c>
      <c r="Q857" s="95">
        <f>IF(AND(G857=T$23,LEN(G857)&gt;1),1,0)</f>
        <v>0</v>
      </c>
      <c r="R857" s="97">
        <f>Doubles!G$23</f>
        <v>22</v>
      </c>
      <c r="S857" s="95">
        <f>IF(AND(H857=H$23,LEN(H857)&gt;1,Q857=1),1,0)</f>
        <v>0</v>
      </c>
      <c r="V857" s="97">
        <f>VLOOKUP(22,R836:S859,2,0)</f>
        <v>0</v>
      </c>
      <c r="W857" s="95">
        <v>22</v>
      </c>
    </row>
    <row r="858" spans="1:23">
      <c r="A858" s="95">
        <v>23</v>
      </c>
      <c r="B858" s="95">
        <f>IF(Doubles!Q113="",0,Doubles!Q113)</f>
        <v>0</v>
      </c>
      <c r="C858" s="99" t="str">
        <f>IF(OR(LEFT(B858,LEN(B$24))=B$24,LEFT(B858,LEN(C$24))=C$24,LEN(B858)&lt;2),"",IF(B858="no pick","","Wrong pick"))</f>
        <v/>
      </c>
      <c r="E858" s="95">
        <f t="shared" si="318"/>
        <v>0</v>
      </c>
      <c r="G858" s="95" t="str">
        <f>IF(B858=0,"",IF(B858="no pick","No Pick",IF(LEFT(B858,LEN(B$24))=B$24,B$24,C$24)))</f>
        <v/>
      </c>
      <c r="H858" s="95" t="str">
        <f t="shared" si="319"/>
        <v>0-0</v>
      </c>
      <c r="J858" s="95">
        <f>D$24</f>
        <v>0</v>
      </c>
      <c r="K858" s="95" t="str">
        <f t="shared" si="320"/>
        <v>SR</v>
      </c>
      <c r="L858" s="95" t="str">
        <f t="shared" si="321"/>
        <v>0</v>
      </c>
      <c r="M858" s="95" t="str">
        <f t="shared" si="322"/>
        <v>0</v>
      </c>
      <c r="N858" s="95" t="str">
        <f t="shared" si="323"/>
        <v>0</v>
      </c>
      <c r="O858" s="95" t="str">
        <f t="shared" si="324"/>
        <v>0</v>
      </c>
      <c r="P858" s="95" t="str">
        <f t="shared" si="325"/>
        <v>0</v>
      </c>
      <c r="Q858" s="95">
        <f>IF(AND(G858=T$24,LEN(G858)&gt;1),1,0)</f>
        <v>0</v>
      </c>
      <c r="R858" s="97">
        <f>Doubles!G$24</f>
        <v>23</v>
      </c>
      <c r="S858" s="95">
        <f>IF(AND(H858=H$24,LEN(H858)&gt;1,Q858=1),1,0)</f>
        <v>0</v>
      </c>
      <c r="V858" s="97">
        <f>VLOOKUP(23,R836:S859,2,0)</f>
        <v>0</v>
      </c>
      <c r="W858" s="95">
        <v>23</v>
      </c>
    </row>
    <row r="859" spans="1:23">
      <c r="A859" s="95">
        <v>24</v>
      </c>
      <c r="B859" s="95">
        <f>IF(Doubles!Q114="",0,Doubles!Q114)</f>
        <v>0</v>
      </c>
      <c r="C859" s="99" t="str">
        <f>IF(OR(LEFT(B859,LEN(B$25))=B$25,LEFT(B859,LEN(C$25))=C$25,LEN(B859)&lt;2),"",IF(B859="no pick","","Wrong pick"))</f>
        <v/>
      </c>
      <c r="E859" s="95">
        <f t="shared" si="318"/>
        <v>0</v>
      </c>
      <c r="G859" s="95" t="str">
        <f>IF(B859=0,"",IF(B859="no pick","No Pick",IF(LEFT(B859,LEN(B$25))=B$25,B$25,C$25)))</f>
        <v/>
      </c>
      <c r="H859" s="95" t="str">
        <f t="shared" si="319"/>
        <v>0-0</v>
      </c>
      <c r="J859" s="95">
        <f>D$25</f>
        <v>0</v>
      </c>
      <c r="K859" s="95" t="str">
        <f t="shared" si="320"/>
        <v>SR</v>
      </c>
      <c r="L859" s="95" t="str">
        <f t="shared" si="321"/>
        <v>0</v>
      </c>
      <c r="M859" s="95" t="str">
        <f t="shared" si="322"/>
        <v>0</v>
      </c>
      <c r="N859" s="95" t="str">
        <f t="shared" si="323"/>
        <v>0</v>
      </c>
      <c r="O859" s="95" t="str">
        <f t="shared" si="324"/>
        <v>0</v>
      </c>
      <c r="P859" s="95" t="str">
        <f t="shared" si="325"/>
        <v>0</v>
      </c>
      <c r="Q859" s="95">
        <f>IF(AND(G859=T$25,LEN(G859)&gt;1),1,0)</f>
        <v>0</v>
      </c>
      <c r="R859" s="97">
        <f>Doubles!G$25</f>
        <v>24</v>
      </c>
      <c r="S859" s="95">
        <f>IF(AND(H859=H$25,LEN(H859)&gt;1,Q859=1),1,0)</f>
        <v>0</v>
      </c>
      <c r="V859" s="97">
        <f>VLOOKUP(24,R836:S859,2,0)</f>
        <v>0</v>
      </c>
      <c r="W859" s="95">
        <v>24</v>
      </c>
    </row>
    <row r="860" spans="1:23">
      <c r="A860" s="106"/>
      <c r="B860" s="106"/>
      <c r="C860" s="107"/>
      <c r="D860" s="106"/>
      <c r="E860" s="106"/>
      <c r="Q860" s="106"/>
      <c r="R860" s="106"/>
      <c r="S860" s="106"/>
      <c r="W860" s="95">
        <v>25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Guide</vt:lpstr>
      <vt:lpstr>Singles</vt:lpstr>
      <vt:lpstr>Doubles</vt:lpstr>
      <vt:lpstr>Stats</vt:lpstr>
      <vt:lpstr>Diffs</vt:lpstr>
      <vt:lpstr>DDDiffs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bry17may</dc:creator>
  <cp:lastModifiedBy>ASRock</cp:lastModifiedBy>
  <dcterms:created xsi:type="dcterms:W3CDTF">2013-04-19T20:41:07Z</dcterms:created>
  <dcterms:modified xsi:type="dcterms:W3CDTF">2013-04-20T12:47:31Z</dcterms:modified>
</cp:coreProperties>
</file>